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7536" windowHeight="4056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STATS'!$A$1:$M$209</definedName>
    <definedName name="_xlnm.Print_Area" localSheetId="3">'SLOT STATS'!$A$1:$I$209</definedName>
    <definedName name="_xlnm.Print_Area" localSheetId="2">'TABLE STATS'!$A$1:$H$208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fullCalcOnLoad="1"/>
</workbook>
</file>

<file path=xl/sharedStrings.xml><?xml version="1.0" encoding="utf-8"?>
<sst xmlns="http://schemas.openxmlformats.org/spreadsheetml/2006/main" count="193" uniqueCount="76">
  <si>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</si>
  <si>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</si>
  <si>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</si>
  <si>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</si>
  <si>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</si>
  <si>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</si>
  <si>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</si>
  <si>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</si>
  <si>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</si>
  <si>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</si>
  <si>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</si>
  <si>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</si>
  <si>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</si>
  <si>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</si>
  <si>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</si>
  <si>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</si>
  <si>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</si>
  <si>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</si>
  <si>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</si>
  <si>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</si>
  <si>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</si>
  <si>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</si>
  <si>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</si>
  <si>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</si>
  <si>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</si>
  <si>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</si>
  <si>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</si>
  <si>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</si>
  <si>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</si>
  <si>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</si>
  <si>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</si>
  <si>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</si>
  <si>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</si>
  <si>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</si>
  <si>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</si>
  <si>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</si>
  <si>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</si>
  <si>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</si>
  <si>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</si>
  <si>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</si>
  <si>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</si>
  <si>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</si>
  <si>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</si>
  <si>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</si>
  <si>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</si>
  <si>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</si>
  <si>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</si>
  <si>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</si>
  <si>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</si>
  <si>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</si>
  <si>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</si>
  <si>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</si>
  <si>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</si>
  <si>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</si>
  <si>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</si>
  <si>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</si>
  <si>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</si>
  <si>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</si>
  <si>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</si>
  <si>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</si>
  <si>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</si>
  <si>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</si>
  <si>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</si>
  <si>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</si>
  <si>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</si>
  <si>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</si>
  <si>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</si>
  <si>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</si>
  <si>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2020 YTD ADMISSIONS, PATRONS AND AGR SUMMARY </t>
  </si>
  <si>
    <t xml:space="preserve">                      Casinos closed entire month of April due to Covid-19</t>
  </si>
  <si>
    <t>MONTH ENDED:   JUNE 30, 2020</t>
  </si>
  <si>
    <t>(as reported on the tax remittal database dtd 7/9/20)</t>
  </si>
  <si>
    <t>FOR THE MONTH ENDED:   JUNE 30, 2020</t>
  </si>
  <si>
    <t>THRU MONTH ENDED:   JUNE 30, 2020</t>
  </si>
  <si>
    <t>(as reported on the tax remittal database as of 7/9/20)</t>
  </si>
  <si>
    <t>THRU MONTH ENDED:     JUNE 30,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</si>
</sst>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i/>
      <u val="single"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5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164" fontId="0" fillId="33" borderId="20" xfId="0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20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20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20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20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20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19" xfId="53" applyNumberFormat="1" applyFont="1" applyFill="1" applyBorder="1" applyAlignment="1">
      <alignment horizontal="center"/>
      <protection/>
    </xf>
    <xf numFmtId="9" fontId="9" fillId="34" borderId="20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0" fontId="13" fillId="0" borderId="0" xfId="54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17" fontId="0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8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8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1"/>
      <c r="L1" s="191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1"/>
      <c r="L2" s="191"/>
      <c r="M2" s="2"/>
      <c r="N2" s="2"/>
      <c r="O2" s="2"/>
      <c r="P2" s="2"/>
      <c r="Q2" s="2"/>
      <c r="R2" s="2"/>
    </row>
    <row r="3" spans="1:18" ht="17.25">
      <c r="A3" s="1" t="s">
        <v>70</v>
      </c>
      <c r="B3" s="2"/>
      <c r="C3" s="2"/>
      <c r="D3" s="2"/>
      <c r="E3" s="2"/>
      <c r="F3" s="2"/>
      <c r="G3" s="2"/>
      <c r="H3" s="2"/>
      <c r="I3" s="2"/>
      <c r="J3" s="2"/>
      <c r="K3" s="191"/>
      <c r="L3" s="191"/>
      <c r="M3" s="2"/>
      <c r="N3" s="2"/>
      <c r="O3" s="2"/>
      <c r="P3" s="2"/>
      <c r="Q3" s="2"/>
      <c r="R3" s="2"/>
    </row>
    <row r="4" spans="1:18" ht="15">
      <c r="A4" s="276" t="s">
        <v>71</v>
      </c>
      <c r="B4" s="2"/>
      <c r="C4" s="2"/>
      <c r="D4" s="2"/>
      <c r="E4" s="2"/>
      <c r="F4" s="2"/>
      <c r="G4" s="2"/>
      <c r="H4" s="2"/>
      <c r="I4" s="2"/>
      <c r="J4" s="2"/>
      <c r="K4" s="191"/>
      <c r="L4" s="191"/>
      <c r="M4" s="2"/>
      <c r="N4" s="2"/>
      <c r="O4" s="2"/>
      <c r="P4" s="2"/>
      <c r="Q4" s="2"/>
      <c r="R4" s="2"/>
    </row>
    <row r="5" spans="1:18" ht="1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1"/>
      <c r="L5" s="191"/>
      <c r="M5" s="2"/>
      <c r="N5" s="2"/>
      <c r="O5" s="2"/>
      <c r="P5" s="2"/>
      <c r="Q5" s="2"/>
      <c r="R5" s="2"/>
    </row>
    <row r="6" spans="1:18" ht="1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2" t="s">
        <v>1</v>
      </c>
      <c r="L6" s="192" t="s">
        <v>3</v>
      </c>
      <c r="M6" s="9"/>
      <c r="N6" s="10"/>
      <c r="R6" s="2"/>
    </row>
    <row r="7" spans="1:18" ht="15.7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3" t="s">
        <v>12</v>
      </c>
      <c r="L7" s="193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4"/>
      <c r="L8" s="194"/>
      <c r="M8" s="18"/>
      <c r="N8" s="10"/>
      <c r="R8" s="2"/>
    </row>
    <row r="9" spans="1:18" ht="15">
      <c r="A9" s="19" t="s">
        <v>13</v>
      </c>
      <c r="B9" s="20">
        <f>DATE(2019,7,1)</f>
        <v>43647</v>
      </c>
      <c r="C9" s="21">
        <v>273819</v>
      </c>
      <c r="D9" s="22">
        <v>261456</v>
      </c>
      <c r="E9" s="23">
        <f aca="true" t="shared" si="0" ref="E9:E20">(+C9-D9)/D9</f>
        <v>0.04728520286396182</v>
      </c>
      <c r="F9" s="21">
        <f>+C9-121652</f>
        <v>152167</v>
      </c>
      <c r="G9" s="21">
        <f>+D9-122888</f>
        <v>138568</v>
      </c>
      <c r="H9" s="23">
        <f aca="true" t="shared" si="1" ref="H9:H20">(+F9-G9)/G9</f>
        <v>0.0981395415969055</v>
      </c>
      <c r="I9" s="24">
        <f aca="true" t="shared" si="2" ref="I9:I17">K9/C9</f>
        <v>53.293904623126956</v>
      </c>
      <c r="J9" s="24">
        <f aca="true" t="shared" si="3" ref="J9:J17">K9/F9</f>
        <v>95.9004493089829</v>
      </c>
      <c r="K9" s="21">
        <v>14592883.67</v>
      </c>
      <c r="L9" s="21">
        <v>13375050.09</v>
      </c>
      <c r="M9" s="25">
        <f aca="true" t="shared" si="4" ref="M9:M20">(+K9-L9)/L9</f>
        <v>0.09105263694754508</v>
      </c>
      <c r="N9" s="10"/>
      <c r="R9" s="2"/>
    </row>
    <row r="10" spans="1:18" ht="15">
      <c r="A10" s="19"/>
      <c r="B10" s="20">
        <f>DATE(2019,8,1)</f>
        <v>43678</v>
      </c>
      <c r="C10" s="21">
        <v>276880</v>
      </c>
      <c r="D10" s="22">
        <v>266367</v>
      </c>
      <c r="E10" s="23">
        <f t="shared" si="0"/>
        <v>0.03946810227993708</v>
      </c>
      <c r="F10" s="21">
        <f>+C10-123357</f>
        <v>153523</v>
      </c>
      <c r="G10" s="21">
        <f>+D10-122166</f>
        <v>144201</v>
      </c>
      <c r="H10" s="23">
        <f t="shared" si="1"/>
        <v>0.06464587624218972</v>
      </c>
      <c r="I10" s="24">
        <f t="shared" si="2"/>
        <v>52.376661297312914</v>
      </c>
      <c r="J10" s="24">
        <f t="shared" si="3"/>
        <v>94.46174175856386</v>
      </c>
      <c r="K10" s="21">
        <v>14502049.98</v>
      </c>
      <c r="L10" s="21">
        <v>13957901.84</v>
      </c>
      <c r="M10" s="25">
        <f t="shared" si="4"/>
        <v>0.03898495248337415</v>
      </c>
      <c r="N10" s="10"/>
      <c r="R10" s="2"/>
    </row>
    <row r="11" spans="1:18" ht="15">
      <c r="A11" s="19"/>
      <c r="B11" s="20">
        <f>DATE(2019,9,1)</f>
        <v>43709</v>
      </c>
      <c r="C11" s="21">
        <v>254028</v>
      </c>
      <c r="D11" s="22">
        <v>263613</v>
      </c>
      <c r="E11" s="23">
        <f t="shared" si="0"/>
        <v>-0.03636011881052907</v>
      </c>
      <c r="F11" s="21">
        <f>+C11-112781</f>
        <v>141247</v>
      </c>
      <c r="G11" s="21">
        <f>+D11-122145</f>
        <v>141468</v>
      </c>
      <c r="H11" s="23">
        <f t="shared" si="1"/>
        <v>-0.00156219074278282</v>
      </c>
      <c r="I11" s="24">
        <f t="shared" si="2"/>
        <v>50.2853637394303</v>
      </c>
      <c r="J11" s="24">
        <f t="shared" si="3"/>
        <v>90.43654293542518</v>
      </c>
      <c r="K11" s="21">
        <v>12773890.38</v>
      </c>
      <c r="L11" s="21">
        <v>13536102.3</v>
      </c>
      <c r="M11" s="25">
        <f t="shared" si="4"/>
        <v>-0.05630955670303998</v>
      </c>
      <c r="N11" s="10"/>
      <c r="R11" s="2"/>
    </row>
    <row r="12" spans="1:18" ht="15">
      <c r="A12" s="19"/>
      <c r="B12" s="20">
        <f>DATE(2019,10,1)</f>
        <v>43739</v>
      </c>
      <c r="C12" s="21">
        <v>250952</v>
      </c>
      <c r="D12" s="22">
        <v>264243</v>
      </c>
      <c r="E12" s="23">
        <f t="shared" si="0"/>
        <v>-0.05029839957917523</v>
      </c>
      <c r="F12" s="21">
        <f>+C12-113545</f>
        <v>137407</v>
      </c>
      <c r="G12" s="21">
        <f>+D12-121413</f>
        <v>142830</v>
      </c>
      <c r="H12" s="23">
        <f t="shared" si="1"/>
        <v>-0.03796821396065252</v>
      </c>
      <c r="I12" s="24">
        <f t="shared" si="2"/>
        <v>53.29527722432975</v>
      </c>
      <c r="J12" s="24">
        <f t="shared" si="3"/>
        <v>97.3353352449293</v>
      </c>
      <c r="K12" s="21">
        <v>13374556.41</v>
      </c>
      <c r="L12" s="21">
        <v>13965262.38</v>
      </c>
      <c r="M12" s="25">
        <f t="shared" si="4"/>
        <v>-0.04229823643313464</v>
      </c>
      <c r="N12" s="10"/>
      <c r="R12" s="2"/>
    </row>
    <row r="13" spans="1:18" ht="15">
      <c r="A13" s="19"/>
      <c r="B13" s="20">
        <f>DATE(2019,11,1)</f>
        <v>43770</v>
      </c>
      <c r="C13" s="21">
        <v>272418</v>
      </c>
      <c r="D13" s="22">
        <v>252868</v>
      </c>
      <c r="E13" s="23">
        <f t="shared" si="0"/>
        <v>0.07731306452378316</v>
      </c>
      <c r="F13" s="21">
        <f>+C13-124199</f>
        <v>148219</v>
      </c>
      <c r="G13" s="21">
        <f>+D13-117772</f>
        <v>135096</v>
      </c>
      <c r="H13" s="23">
        <f t="shared" si="1"/>
        <v>0.09713833126073311</v>
      </c>
      <c r="I13" s="24">
        <f t="shared" si="2"/>
        <v>51.27434864803354</v>
      </c>
      <c r="J13" s="24">
        <f t="shared" si="3"/>
        <v>94.2393047450057</v>
      </c>
      <c r="K13" s="21">
        <v>13968055.51</v>
      </c>
      <c r="L13" s="21">
        <v>13690400.94</v>
      </c>
      <c r="M13" s="25">
        <f t="shared" si="4"/>
        <v>0.02028096702330767</v>
      </c>
      <c r="N13" s="10"/>
      <c r="R13" s="2"/>
    </row>
    <row r="14" spans="1:18" ht="15">
      <c r="A14" s="19"/>
      <c r="B14" s="20">
        <f>DATE(2019,12,1)</f>
        <v>43800</v>
      </c>
      <c r="C14" s="21">
        <v>282345</v>
      </c>
      <c r="D14" s="22">
        <v>287683</v>
      </c>
      <c r="E14" s="23">
        <f t="shared" si="0"/>
        <v>-0.01855514576808501</v>
      </c>
      <c r="F14" s="21">
        <f>+C14-128827</f>
        <v>153518</v>
      </c>
      <c r="G14" s="21">
        <f>+D14-136878</f>
        <v>150805</v>
      </c>
      <c r="H14" s="23">
        <f t="shared" si="1"/>
        <v>0.01799011969099168</v>
      </c>
      <c r="I14" s="24">
        <f t="shared" si="2"/>
        <v>51.87481588128</v>
      </c>
      <c r="J14" s="24">
        <f t="shared" si="3"/>
        <v>95.40636856915802</v>
      </c>
      <c r="K14" s="21">
        <v>14646594.89</v>
      </c>
      <c r="L14" s="21">
        <v>15302336.49</v>
      </c>
      <c r="M14" s="25">
        <f t="shared" si="4"/>
        <v>-0.042852384041386325</v>
      </c>
      <c r="N14" s="10"/>
      <c r="R14" s="2"/>
    </row>
    <row r="15" spans="1:18" ht="15">
      <c r="A15" s="19"/>
      <c r="B15" s="20">
        <f>DATE(2020,1,1)</f>
        <v>43831</v>
      </c>
      <c r="C15" s="21">
        <v>244941</v>
      </c>
      <c r="D15" s="22">
        <v>239286</v>
      </c>
      <c r="E15" s="23">
        <f t="shared" si="0"/>
        <v>0.023632807602617788</v>
      </c>
      <c r="F15" s="21">
        <f>+C15-113581</f>
        <v>131360</v>
      </c>
      <c r="G15" s="21">
        <f>+D15-112115</f>
        <v>127171</v>
      </c>
      <c r="H15" s="23">
        <f t="shared" si="1"/>
        <v>0.0329398998199275</v>
      </c>
      <c r="I15" s="24">
        <f t="shared" si="2"/>
        <v>51.15370448393695</v>
      </c>
      <c r="J15" s="24">
        <f t="shared" si="3"/>
        <v>95.38397936967112</v>
      </c>
      <c r="K15" s="21">
        <v>12529639.53</v>
      </c>
      <c r="L15" s="21">
        <v>12487856.06</v>
      </c>
      <c r="M15" s="25">
        <f t="shared" si="4"/>
        <v>0.0033459282201238638</v>
      </c>
      <c r="N15" s="10"/>
      <c r="R15" s="2"/>
    </row>
    <row r="16" spans="1:18" ht="15">
      <c r="A16" s="19"/>
      <c r="B16" s="20">
        <f>DATE(2020,2,1)</f>
        <v>43862</v>
      </c>
      <c r="C16" s="21">
        <v>260941</v>
      </c>
      <c r="D16" s="22">
        <v>236408</v>
      </c>
      <c r="E16" s="23">
        <f t="shared" si="0"/>
        <v>0.10377398395993367</v>
      </c>
      <c r="F16" s="21">
        <f>+C16-121501</f>
        <v>139440</v>
      </c>
      <c r="G16" s="21">
        <f>+D16-111522</f>
        <v>124886</v>
      </c>
      <c r="H16" s="23">
        <f t="shared" si="1"/>
        <v>0.11653828291401759</v>
      </c>
      <c r="I16" s="24">
        <f t="shared" si="2"/>
        <v>52.94414158756194</v>
      </c>
      <c r="J16" s="24">
        <f t="shared" si="3"/>
        <v>99.07700265347103</v>
      </c>
      <c r="K16" s="21">
        <v>13815297.25</v>
      </c>
      <c r="L16" s="21">
        <v>12495205.26</v>
      </c>
      <c r="M16" s="25">
        <f t="shared" si="4"/>
        <v>0.1056478835306464</v>
      </c>
      <c r="N16" s="10"/>
      <c r="R16" s="2"/>
    </row>
    <row r="17" spans="1:18" ht="15">
      <c r="A17" s="19"/>
      <c r="B17" s="20">
        <f>DATE(2020,3,1)</f>
        <v>43891</v>
      </c>
      <c r="C17" s="21">
        <v>133788</v>
      </c>
      <c r="D17" s="22">
        <v>291988</v>
      </c>
      <c r="E17" s="23">
        <f t="shared" si="0"/>
        <v>-0.5418030877981287</v>
      </c>
      <c r="F17" s="21">
        <f>+C17-60707</f>
        <v>73081</v>
      </c>
      <c r="G17" s="21">
        <f>+D17-138132</f>
        <v>153856</v>
      </c>
      <c r="H17" s="23">
        <f t="shared" si="1"/>
        <v>-0.525003899750416</v>
      </c>
      <c r="I17" s="24">
        <f t="shared" si="2"/>
        <v>52.65961566059737</v>
      </c>
      <c r="J17" s="24">
        <f t="shared" si="3"/>
        <v>96.4029591822772</v>
      </c>
      <c r="K17" s="21">
        <v>7045224.66</v>
      </c>
      <c r="L17" s="21">
        <v>15464457.73</v>
      </c>
      <c r="M17" s="25">
        <f t="shared" si="4"/>
        <v>-0.5444247200254075</v>
      </c>
      <c r="N17" s="10"/>
      <c r="R17" s="2"/>
    </row>
    <row r="18" spans="1:18" ht="15">
      <c r="A18" s="19"/>
      <c r="B18" s="20">
        <f>DATE(2020,4,1)</f>
        <v>43922</v>
      </c>
      <c r="C18" s="21">
        <v>0</v>
      </c>
      <c r="D18" s="22">
        <v>246519</v>
      </c>
      <c r="E18" s="23">
        <f t="shared" si="0"/>
        <v>-1</v>
      </c>
      <c r="F18" s="21">
        <f>+C18-0</f>
        <v>0</v>
      </c>
      <c r="G18" s="21">
        <f>+D18-115901</f>
        <v>130618</v>
      </c>
      <c r="H18" s="23">
        <f t="shared" si="1"/>
        <v>-1</v>
      </c>
      <c r="I18" s="24">
        <v>0</v>
      </c>
      <c r="J18" s="24">
        <v>0</v>
      </c>
      <c r="K18" s="21">
        <v>0</v>
      </c>
      <c r="L18" s="21">
        <v>13236592.17</v>
      </c>
      <c r="M18" s="25">
        <f t="shared" si="4"/>
        <v>-1</v>
      </c>
      <c r="N18" s="10"/>
      <c r="R18" s="2"/>
    </row>
    <row r="19" spans="1:18" ht="15">
      <c r="A19" s="19"/>
      <c r="B19" s="20">
        <f>DATE(2020,5,1)</f>
        <v>43952</v>
      </c>
      <c r="C19" s="21">
        <v>0</v>
      </c>
      <c r="D19" s="22">
        <v>264599</v>
      </c>
      <c r="E19" s="23">
        <f t="shared" si="0"/>
        <v>-1</v>
      </c>
      <c r="F19" s="21">
        <v>0</v>
      </c>
      <c r="G19" s="21">
        <f>+D19-120419</f>
        <v>144180</v>
      </c>
      <c r="H19" s="23">
        <f t="shared" si="1"/>
        <v>-1</v>
      </c>
      <c r="I19" s="24">
        <v>0</v>
      </c>
      <c r="J19" s="24">
        <v>0</v>
      </c>
      <c r="K19" s="21">
        <v>0</v>
      </c>
      <c r="L19" s="21">
        <v>14499818.02</v>
      </c>
      <c r="M19" s="25">
        <f t="shared" si="4"/>
        <v>-1</v>
      </c>
      <c r="N19" s="10"/>
      <c r="R19" s="2"/>
    </row>
    <row r="20" spans="1:18" ht="15">
      <c r="A20" s="19"/>
      <c r="B20" s="20">
        <v>44002</v>
      </c>
      <c r="C20" s="21">
        <v>152811</v>
      </c>
      <c r="D20" s="22">
        <v>255622</v>
      </c>
      <c r="E20" s="23">
        <f t="shared" si="0"/>
        <v>-0.4021993412147624</v>
      </c>
      <c r="F20" s="21">
        <f>+C20-72290</f>
        <v>80521</v>
      </c>
      <c r="G20" s="21">
        <f>+D20-115289</f>
        <v>140333</v>
      </c>
      <c r="H20" s="23">
        <f t="shared" si="1"/>
        <v>-0.4262147891087627</v>
      </c>
      <c r="I20" s="24">
        <f>K20/C20</f>
        <v>70.32929847982147</v>
      </c>
      <c r="J20" s="24">
        <f>K20/F20</f>
        <v>133.46941083692454</v>
      </c>
      <c r="K20" s="21">
        <v>10747090.43</v>
      </c>
      <c r="L20" s="21">
        <v>13300947.32</v>
      </c>
      <c r="M20" s="25">
        <f t="shared" si="4"/>
        <v>-0.19200563903894932</v>
      </c>
      <c r="N20" s="10"/>
      <c r="R20" s="2"/>
    </row>
    <row r="21" spans="1:18" ht="15.75" customHeight="1" thickBot="1">
      <c r="A21" s="19"/>
      <c r="B21" s="20"/>
      <c r="C21" s="21"/>
      <c r="D21" s="21"/>
      <c r="E21" s="23"/>
      <c r="F21" s="21"/>
      <c r="G21" s="21"/>
      <c r="H21" s="23"/>
      <c r="I21" s="24"/>
      <c r="J21" s="24"/>
      <c r="K21" s="21"/>
      <c r="L21" s="21"/>
      <c r="M21" s="25"/>
      <c r="N21" s="10"/>
      <c r="R21" s="2"/>
    </row>
    <row r="22" spans="1:18" ht="16.5" thickBot="1" thickTop="1">
      <c r="A22" s="26" t="s">
        <v>14</v>
      </c>
      <c r="B22" s="27"/>
      <c r="C22" s="28">
        <f>SUM(C9:C21)</f>
        <v>2402923</v>
      </c>
      <c r="D22" s="28">
        <f>SUM(D9:D21)</f>
        <v>3130652</v>
      </c>
      <c r="E22" s="277">
        <f>(+C22-D22)/D22</f>
        <v>-0.23245285646568192</v>
      </c>
      <c r="F22" s="28">
        <f>SUM(F9:F21)</f>
        <v>1310483</v>
      </c>
      <c r="G22" s="28">
        <f>SUM(G9:G21)</f>
        <v>1674012</v>
      </c>
      <c r="H22" s="30">
        <f>(+F22-G22)/G22</f>
        <v>-0.21716033098926413</v>
      </c>
      <c r="I22" s="31">
        <f>K22/C22</f>
        <v>53.26649364544765</v>
      </c>
      <c r="J22" s="31">
        <f>K22/F22</f>
        <v>97.67031141189928</v>
      </c>
      <c r="K22" s="28">
        <f>SUM(K9:K21)</f>
        <v>127995282.71000001</v>
      </c>
      <c r="L22" s="28">
        <f>SUM(L9:L21)</f>
        <v>165311930.60000002</v>
      </c>
      <c r="M22" s="32">
        <f>(+K22-L22)/L22</f>
        <v>-0.22573475341168153</v>
      </c>
      <c r="N22" s="10"/>
      <c r="R22" s="2"/>
    </row>
    <row r="23" spans="1:18" ht="15.75" customHeight="1" thickTop="1">
      <c r="A23" s="15"/>
      <c r="B23" s="16"/>
      <c r="C23" s="16"/>
      <c r="D23" s="16"/>
      <c r="E23" s="17"/>
      <c r="F23" s="16"/>
      <c r="G23" s="16"/>
      <c r="H23" s="17"/>
      <c r="I23" s="16"/>
      <c r="J23" s="16"/>
      <c r="K23" s="194"/>
      <c r="L23" s="194"/>
      <c r="M23" s="18"/>
      <c r="N23" s="10"/>
      <c r="R23" s="2"/>
    </row>
    <row r="24" spans="1:18" ht="15">
      <c r="A24" s="19" t="s">
        <v>15</v>
      </c>
      <c r="B24" s="20">
        <f>DATE(2019,7,1)</f>
        <v>43647</v>
      </c>
      <c r="C24" s="21">
        <v>128877</v>
      </c>
      <c r="D24" s="21">
        <v>142478</v>
      </c>
      <c r="E24" s="23">
        <f aca="true" t="shared" si="5" ref="E24:E35">(+C24-D24)/D24</f>
        <v>-0.09546035177360715</v>
      </c>
      <c r="F24" s="21">
        <f>+C24-61988</f>
        <v>66889</v>
      </c>
      <c r="G24" s="21">
        <f>+D24-67444</f>
        <v>75034</v>
      </c>
      <c r="H24" s="23">
        <f aca="true" t="shared" si="6" ref="H24:H33">(+F24-G24)/G24</f>
        <v>-0.10855079030839353</v>
      </c>
      <c r="I24" s="24">
        <f aca="true" t="shared" si="7" ref="I24:I32">K24/C24</f>
        <v>54.05131117266851</v>
      </c>
      <c r="J24" s="24">
        <f aca="true" t="shared" si="8" ref="J24:J32">K24/F24</f>
        <v>104.1422480527441</v>
      </c>
      <c r="K24" s="21">
        <v>6965970.83</v>
      </c>
      <c r="L24" s="21">
        <v>7374850.26</v>
      </c>
      <c r="M24" s="25">
        <f aca="true" t="shared" si="9" ref="M24:M35">(+K24-L24)/L24</f>
        <v>-0.05544240433161008</v>
      </c>
      <c r="N24" s="10"/>
      <c r="R24" s="2"/>
    </row>
    <row r="25" spans="1:18" ht="15">
      <c r="A25" s="19"/>
      <c r="B25" s="20">
        <f>DATE(2019,8,1)</f>
        <v>43678</v>
      </c>
      <c r="C25" s="21">
        <v>130133</v>
      </c>
      <c r="D25" s="21">
        <v>137794</v>
      </c>
      <c r="E25" s="23">
        <f t="shared" si="5"/>
        <v>-0.05559748610244278</v>
      </c>
      <c r="F25" s="21">
        <f>+C25-62200</f>
        <v>67933</v>
      </c>
      <c r="G25" s="21">
        <f>+D25-65911</f>
        <v>71883</v>
      </c>
      <c r="H25" s="23">
        <f t="shared" si="6"/>
        <v>-0.05495040552008124</v>
      </c>
      <c r="I25" s="24">
        <f t="shared" si="7"/>
        <v>53.532999700306604</v>
      </c>
      <c r="J25" s="24">
        <f t="shared" si="8"/>
        <v>102.54824385791882</v>
      </c>
      <c r="K25" s="21">
        <v>6966409.85</v>
      </c>
      <c r="L25" s="21">
        <v>7098601.26</v>
      </c>
      <c r="M25" s="25">
        <f t="shared" si="9"/>
        <v>-0.01862217712451145</v>
      </c>
      <c r="N25" s="10"/>
      <c r="R25" s="2"/>
    </row>
    <row r="26" spans="1:18" ht="15">
      <c r="A26" s="19"/>
      <c r="B26" s="20">
        <f>DATE(2019,9,1)</f>
        <v>43709</v>
      </c>
      <c r="C26" s="21">
        <v>118251</v>
      </c>
      <c r="D26" s="21">
        <v>137262</v>
      </c>
      <c r="E26" s="23">
        <f t="shared" si="5"/>
        <v>-0.13850155177689383</v>
      </c>
      <c r="F26" s="21">
        <f>+C26-55723</f>
        <v>62528</v>
      </c>
      <c r="G26" s="21">
        <f>+D26-65092</f>
        <v>72170</v>
      </c>
      <c r="H26" s="23">
        <f t="shared" si="6"/>
        <v>-0.1336012193432174</v>
      </c>
      <c r="I26" s="24">
        <f t="shared" si="7"/>
        <v>54.24698818614642</v>
      </c>
      <c r="J26" s="24">
        <f t="shared" si="8"/>
        <v>102.59020918628454</v>
      </c>
      <c r="K26" s="21">
        <v>6414760.6</v>
      </c>
      <c r="L26" s="21">
        <v>6514977.22</v>
      </c>
      <c r="M26" s="25">
        <f t="shared" si="9"/>
        <v>-0.015382497377327763</v>
      </c>
      <c r="N26" s="10"/>
      <c r="R26" s="2"/>
    </row>
    <row r="27" spans="1:18" ht="15">
      <c r="A27" s="19"/>
      <c r="B27" s="20">
        <f>DATE(2019,10,1)</f>
        <v>43739</v>
      </c>
      <c r="C27" s="21">
        <v>113052</v>
      </c>
      <c r="D27" s="21">
        <v>119937</v>
      </c>
      <c r="E27" s="23">
        <f t="shared" si="5"/>
        <v>-0.05740513769729108</v>
      </c>
      <c r="F27" s="21">
        <f>+C27-54189</f>
        <v>58863</v>
      </c>
      <c r="G27" s="21">
        <f>+D27-56627</f>
        <v>63310</v>
      </c>
      <c r="H27" s="23">
        <f t="shared" si="6"/>
        <v>-0.07024166798294108</v>
      </c>
      <c r="I27" s="24">
        <f t="shared" si="7"/>
        <v>53.507365990871456</v>
      </c>
      <c r="J27" s="24">
        <f t="shared" si="8"/>
        <v>102.765994597625</v>
      </c>
      <c r="K27" s="21">
        <v>6049114.74</v>
      </c>
      <c r="L27" s="21">
        <v>6347121.87</v>
      </c>
      <c r="M27" s="25">
        <f t="shared" si="9"/>
        <v>-0.046951537421795225</v>
      </c>
      <c r="N27" s="10"/>
      <c r="R27" s="2"/>
    </row>
    <row r="28" spans="1:18" ht="15">
      <c r="A28" s="19"/>
      <c r="B28" s="20">
        <f>DATE(2019,11,1)</f>
        <v>43770</v>
      </c>
      <c r="C28" s="21">
        <v>116655</v>
      </c>
      <c r="D28" s="21">
        <v>113387</v>
      </c>
      <c r="E28" s="23">
        <f t="shared" si="5"/>
        <v>0.02882164622046619</v>
      </c>
      <c r="F28" s="21">
        <f>+C28-56252</f>
        <v>60403</v>
      </c>
      <c r="G28" s="21">
        <f>+D28-54700</f>
        <v>58687</v>
      </c>
      <c r="H28" s="23">
        <f t="shared" si="6"/>
        <v>0.02923986572835551</v>
      </c>
      <c r="I28" s="24">
        <f t="shared" si="7"/>
        <v>54.55203523209464</v>
      </c>
      <c r="J28" s="24">
        <f t="shared" si="8"/>
        <v>105.35515901528069</v>
      </c>
      <c r="K28" s="21">
        <v>6363767.67</v>
      </c>
      <c r="L28" s="21">
        <v>5777883.19</v>
      </c>
      <c r="M28" s="25">
        <f t="shared" si="9"/>
        <v>0.10140123306992634</v>
      </c>
      <c r="N28" s="10"/>
      <c r="R28" s="2"/>
    </row>
    <row r="29" spans="1:18" ht="15">
      <c r="A29" s="19"/>
      <c r="B29" s="20">
        <f>DATE(2019,12,1)</f>
        <v>43800</v>
      </c>
      <c r="C29" s="21">
        <v>115489</v>
      </c>
      <c r="D29" s="21">
        <v>130957</v>
      </c>
      <c r="E29" s="23">
        <f t="shared" si="5"/>
        <v>-0.11811510648533488</v>
      </c>
      <c r="F29" s="21">
        <f>+C29-56066</f>
        <v>59423</v>
      </c>
      <c r="G29" s="21">
        <f>+D29-63848</f>
        <v>67109</v>
      </c>
      <c r="H29" s="23">
        <f t="shared" si="6"/>
        <v>-0.11453009283404611</v>
      </c>
      <c r="I29" s="24">
        <f t="shared" si="7"/>
        <v>54.336793893790755</v>
      </c>
      <c r="J29" s="24">
        <f t="shared" si="8"/>
        <v>105.60392423808963</v>
      </c>
      <c r="K29" s="21">
        <v>6275301.99</v>
      </c>
      <c r="L29" s="21">
        <v>6736075.92</v>
      </c>
      <c r="M29" s="25">
        <f t="shared" si="9"/>
        <v>-0.06840390985379508</v>
      </c>
      <c r="N29" s="10"/>
      <c r="R29" s="2"/>
    </row>
    <row r="30" spans="1:18" ht="15">
      <c r="A30" s="19"/>
      <c r="B30" s="20">
        <f>DATE(2020,1,1)</f>
        <v>43831</v>
      </c>
      <c r="C30" s="21">
        <v>104167</v>
      </c>
      <c r="D30" s="21">
        <v>105704</v>
      </c>
      <c r="E30" s="23">
        <f t="shared" si="5"/>
        <v>-0.014540603950654658</v>
      </c>
      <c r="F30" s="21">
        <f>+C30-50647</f>
        <v>53520</v>
      </c>
      <c r="G30" s="21">
        <f>+D30-51270</f>
        <v>54434</v>
      </c>
      <c r="H30" s="23">
        <f t="shared" si="6"/>
        <v>-0.016790976228092735</v>
      </c>
      <c r="I30" s="24">
        <f t="shared" si="7"/>
        <v>54.09159234690449</v>
      </c>
      <c r="J30" s="24">
        <f t="shared" si="8"/>
        <v>105.27950112107624</v>
      </c>
      <c r="K30" s="21">
        <v>5634558.9</v>
      </c>
      <c r="L30" s="21">
        <v>5202479.57</v>
      </c>
      <c r="M30" s="25">
        <f t="shared" si="9"/>
        <v>0.08305257602385933</v>
      </c>
      <c r="N30" s="10"/>
      <c r="R30" s="2"/>
    </row>
    <row r="31" spans="1:18" ht="15">
      <c r="A31" s="19"/>
      <c r="B31" s="20">
        <f>DATE(2020,2,1)</f>
        <v>43862</v>
      </c>
      <c r="C31" s="21">
        <v>123497</v>
      </c>
      <c r="D31" s="21">
        <v>119333</v>
      </c>
      <c r="E31" s="23">
        <f t="shared" si="5"/>
        <v>0.03489395221774363</v>
      </c>
      <c r="F31" s="21">
        <f>+C31-60781</f>
        <v>62716</v>
      </c>
      <c r="G31" s="21">
        <f>+D31-58302</f>
        <v>61031</v>
      </c>
      <c r="H31" s="23">
        <f t="shared" si="6"/>
        <v>0.027608920057020203</v>
      </c>
      <c r="I31" s="24">
        <f t="shared" si="7"/>
        <v>54.34127403904549</v>
      </c>
      <c r="J31" s="24">
        <f t="shared" si="8"/>
        <v>107.0059366030997</v>
      </c>
      <c r="K31" s="21">
        <v>6710984.32</v>
      </c>
      <c r="L31" s="21">
        <v>6238077.47</v>
      </c>
      <c r="M31" s="25">
        <f t="shared" si="9"/>
        <v>0.07580971096853027</v>
      </c>
      <c r="N31" s="10"/>
      <c r="R31" s="2"/>
    </row>
    <row r="32" spans="1:18" ht="15">
      <c r="A32" s="19"/>
      <c r="B32" s="20">
        <f>DATE(2020,3,1)</f>
        <v>43891</v>
      </c>
      <c r="C32" s="21">
        <v>60616</v>
      </c>
      <c r="D32" s="21">
        <v>147225</v>
      </c>
      <c r="E32" s="23">
        <f t="shared" si="5"/>
        <v>-0.588276447614196</v>
      </c>
      <c r="F32" s="21">
        <f>+C32-29274</f>
        <v>31342</v>
      </c>
      <c r="G32" s="21">
        <f>+D32-71732</f>
        <v>75493</v>
      </c>
      <c r="H32" s="23">
        <f t="shared" si="6"/>
        <v>-0.5848356801292836</v>
      </c>
      <c r="I32" s="24">
        <f t="shared" si="7"/>
        <v>58.467597663983106</v>
      </c>
      <c r="J32" s="24">
        <f t="shared" si="8"/>
        <v>113.0774009316572</v>
      </c>
      <c r="K32" s="21">
        <v>3544071.9</v>
      </c>
      <c r="L32" s="21">
        <v>7845999.88</v>
      </c>
      <c r="M32" s="25">
        <f t="shared" si="9"/>
        <v>-0.5482956979091874</v>
      </c>
      <c r="N32" s="10"/>
      <c r="R32" s="2"/>
    </row>
    <row r="33" spans="1:18" ht="15">
      <c r="A33" s="19"/>
      <c r="B33" s="20">
        <f>DATE(2020,4,1)</f>
        <v>43922</v>
      </c>
      <c r="C33" s="21">
        <v>0</v>
      </c>
      <c r="D33" s="21">
        <v>120109</v>
      </c>
      <c r="E33" s="23">
        <f t="shared" si="5"/>
        <v>-1</v>
      </c>
      <c r="F33" s="21">
        <v>0</v>
      </c>
      <c r="G33" s="21">
        <f>+D33-57579</f>
        <v>62530</v>
      </c>
      <c r="H33" s="23">
        <f t="shared" si="6"/>
        <v>-1</v>
      </c>
      <c r="I33" s="24">
        <v>0</v>
      </c>
      <c r="J33" s="24">
        <v>0</v>
      </c>
      <c r="K33" s="21">
        <v>0</v>
      </c>
      <c r="L33" s="21">
        <v>6197014.36</v>
      </c>
      <c r="M33" s="25">
        <f t="shared" si="9"/>
        <v>-1</v>
      </c>
      <c r="N33" s="10"/>
      <c r="R33" s="2"/>
    </row>
    <row r="34" spans="1:18" ht="15">
      <c r="A34" s="19"/>
      <c r="B34" s="20">
        <f>DATE(2020,5,1)</f>
        <v>43952</v>
      </c>
      <c r="C34" s="21">
        <v>0</v>
      </c>
      <c r="D34" s="21">
        <v>130620</v>
      </c>
      <c r="E34" s="23">
        <f t="shared" si="5"/>
        <v>-1</v>
      </c>
      <c r="F34" s="21">
        <v>0</v>
      </c>
      <c r="G34" s="21">
        <f>+D34-62633</f>
        <v>67987</v>
      </c>
      <c r="H34" s="23">
        <f>(+F34-G34)/G34</f>
        <v>-1</v>
      </c>
      <c r="I34" s="24">
        <v>0</v>
      </c>
      <c r="J34" s="24">
        <v>0</v>
      </c>
      <c r="K34" s="21">
        <v>0</v>
      </c>
      <c r="L34" s="21">
        <v>6868225.95</v>
      </c>
      <c r="M34" s="25">
        <f t="shared" si="9"/>
        <v>-1</v>
      </c>
      <c r="N34" s="10"/>
      <c r="R34" s="2"/>
    </row>
    <row r="35" spans="1:18" ht="15">
      <c r="A35" s="19"/>
      <c r="B35" s="20">
        <v>44002</v>
      </c>
      <c r="C35" s="21">
        <v>83780</v>
      </c>
      <c r="D35" s="21">
        <v>118693</v>
      </c>
      <c r="E35" s="23">
        <f t="shared" si="5"/>
        <v>-0.29414540031846864</v>
      </c>
      <c r="F35" s="21">
        <f>+C35-41161</f>
        <v>42619</v>
      </c>
      <c r="G35" s="21">
        <f>+D35-56710</f>
        <v>61983</v>
      </c>
      <c r="H35" s="23">
        <f>(+F35-G35)/G35</f>
        <v>-0.31240824096929803</v>
      </c>
      <c r="I35" s="24">
        <f>K35/C35</f>
        <v>70.16862091191214</v>
      </c>
      <c r="J35" s="24">
        <f>K35/F35</f>
        <v>137.93676670029797</v>
      </c>
      <c r="K35" s="21">
        <v>5878727.06</v>
      </c>
      <c r="L35" s="21">
        <v>6433389.85</v>
      </c>
      <c r="M35" s="25">
        <f t="shared" si="9"/>
        <v>-0.08621625658205682</v>
      </c>
      <c r="N35" s="10"/>
      <c r="R35" s="2"/>
    </row>
    <row r="36" spans="1:18" ht="15.75" customHeight="1" thickBot="1">
      <c r="A36" s="19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Bot="1" thickTop="1">
      <c r="A37" s="26" t="s">
        <v>14</v>
      </c>
      <c r="B37" s="27"/>
      <c r="C37" s="28">
        <f>SUM(C24:C36)</f>
        <v>1094517</v>
      </c>
      <c r="D37" s="28">
        <f>SUM(D24:D36)</f>
        <v>1523499</v>
      </c>
      <c r="E37" s="277">
        <f>(+C37-D37)/D37</f>
        <v>-0.2815768175758566</v>
      </c>
      <c r="F37" s="28">
        <f>SUM(F24:F36)</f>
        <v>566236</v>
      </c>
      <c r="G37" s="28">
        <f>SUM(G24:G36)</f>
        <v>791651</v>
      </c>
      <c r="H37" s="30">
        <f>(+F37-G37)/G37</f>
        <v>-0.2847403717041979</v>
      </c>
      <c r="I37" s="31">
        <f>K37/C37</f>
        <v>55.552967984965065</v>
      </c>
      <c r="J37" s="31">
        <f>K37/F37</f>
        <v>107.38220081379497</v>
      </c>
      <c r="K37" s="28">
        <f>SUM(K24:K36)</f>
        <v>60803667.86000001</v>
      </c>
      <c r="L37" s="28">
        <f>SUM(L24:L36)</f>
        <v>78634696.8</v>
      </c>
      <c r="M37" s="32">
        <f>(+K37-L37)/L37</f>
        <v>-0.2267577757100221</v>
      </c>
      <c r="N37" s="10"/>
      <c r="R37" s="2"/>
    </row>
    <row r="38" spans="1:18" ht="15.75" customHeight="1" thickTop="1">
      <c r="A38" s="33"/>
      <c r="B38" s="34"/>
      <c r="C38" s="35"/>
      <c r="D38" s="35"/>
      <c r="E38" s="29"/>
      <c r="F38" s="35"/>
      <c r="G38" s="35"/>
      <c r="H38" s="29"/>
      <c r="I38" s="36"/>
      <c r="J38" s="36"/>
      <c r="K38" s="35"/>
      <c r="L38" s="35"/>
      <c r="M38" s="37"/>
      <c r="N38" s="10"/>
      <c r="R38" s="2"/>
    </row>
    <row r="39" spans="1:18" ht="15.75" customHeight="1">
      <c r="A39" s="19" t="s">
        <v>56</v>
      </c>
      <c r="B39" s="20">
        <f>DATE(2019,7,1)</f>
        <v>43647</v>
      </c>
      <c r="C39" s="21">
        <v>66822</v>
      </c>
      <c r="D39" s="21">
        <v>72910</v>
      </c>
      <c r="E39" s="23">
        <f aca="true" t="shared" si="10" ref="E39:E50">(+C39-D39)/D39</f>
        <v>-0.08350020573309559</v>
      </c>
      <c r="F39" s="21">
        <f>+C39-35692</f>
        <v>31130</v>
      </c>
      <c r="G39" s="21">
        <f>+D39-39365</f>
        <v>33545</v>
      </c>
      <c r="H39" s="23">
        <f aca="true" t="shared" si="11" ref="H39:H48">(+F39-G39)/G39</f>
        <v>-0.07199284543150991</v>
      </c>
      <c r="I39" s="24">
        <f aca="true" t="shared" si="12" ref="I39:I47">K39/C39</f>
        <v>48.793103618568736</v>
      </c>
      <c r="J39" s="24">
        <f aca="true" t="shared" si="13" ref="J39:J47">K39/F39</f>
        <v>104.73667748152907</v>
      </c>
      <c r="K39" s="21">
        <v>3260452.77</v>
      </c>
      <c r="L39" s="21">
        <v>3264963.85</v>
      </c>
      <c r="M39" s="25">
        <f aca="true" t="shared" si="14" ref="M39:M50">(+K39-L39)/L39</f>
        <v>-0.001381663077219086</v>
      </c>
      <c r="N39" s="10"/>
      <c r="R39" s="2"/>
    </row>
    <row r="40" spans="1:18" ht="15.75" customHeight="1">
      <c r="A40" s="19"/>
      <c r="B40" s="20">
        <f>DATE(2019,8,1)</f>
        <v>43678</v>
      </c>
      <c r="C40" s="21">
        <v>69025</v>
      </c>
      <c r="D40" s="21">
        <v>70574</v>
      </c>
      <c r="E40" s="23">
        <f t="shared" si="10"/>
        <v>-0.021948592966248192</v>
      </c>
      <c r="F40" s="21">
        <f>+C40-37871</f>
        <v>31154</v>
      </c>
      <c r="G40" s="21">
        <f>+D40-38367</f>
        <v>32207</v>
      </c>
      <c r="H40" s="23">
        <f t="shared" si="11"/>
        <v>-0.03269475579842891</v>
      </c>
      <c r="I40" s="24">
        <f t="shared" si="12"/>
        <v>46.687241434262944</v>
      </c>
      <c r="J40" s="24">
        <f t="shared" si="13"/>
        <v>103.4405482442062</v>
      </c>
      <c r="K40" s="21">
        <v>3222586.84</v>
      </c>
      <c r="L40" s="21">
        <v>3124652.26</v>
      </c>
      <c r="M40" s="25">
        <f t="shared" si="14"/>
        <v>0.03134255329903497</v>
      </c>
      <c r="N40" s="10"/>
      <c r="R40" s="2"/>
    </row>
    <row r="41" spans="1:18" ht="15.75" customHeight="1">
      <c r="A41" s="19"/>
      <c r="B41" s="20">
        <f>DATE(2019,9,1)</f>
        <v>43709</v>
      </c>
      <c r="C41" s="21">
        <v>65573</v>
      </c>
      <c r="D41" s="21">
        <v>68201</v>
      </c>
      <c r="E41" s="23">
        <f t="shared" si="10"/>
        <v>-0.03853315933783962</v>
      </c>
      <c r="F41" s="21">
        <f>+C41-35939</f>
        <v>29634</v>
      </c>
      <c r="G41" s="21">
        <f>+D41-36459</f>
        <v>31742</v>
      </c>
      <c r="H41" s="23">
        <f t="shared" si="11"/>
        <v>-0.0664104341251339</v>
      </c>
      <c r="I41" s="24">
        <f t="shared" si="12"/>
        <v>47.458679486983975</v>
      </c>
      <c r="J41" s="24">
        <f t="shared" si="13"/>
        <v>105.0147799824526</v>
      </c>
      <c r="K41" s="21">
        <v>3112007.99</v>
      </c>
      <c r="L41" s="21">
        <v>3126829.64</v>
      </c>
      <c r="M41" s="25">
        <f t="shared" si="14"/>
        <v>-0.004740152712637042</v>
      </c>
      <c r="N41" s="10"/>
      <c r="R41" s="2"/>
    </row>
    <row r="42" spans="1:18" ht="15.75" customHeight="1">
      <c r="A42" s="19"/>
      <c r="B42" s="20">
        <f>DATE(2019,10,1)</f>
        <v>43739</v>
      </c>
      <c r="C42" s="21">
        <v>63039</v>
      </c>
      <c r="D42" s="21">
        <v>62804</v>
      </c>
      <c r="E42" s="23">
        <f t="shared" si="10"/>
        <v>0.0037417998853576206</v>
      </c>
      <c r="F42" s="21">
        <f>+C42-34568</f>
        <v>28471</v>
      </c>
      <c r="G42" s="21">
        <f>+D42-33338</f>
        <v>29466</v>
      </c>
      <c r="H42" s="23">
        <f t="shared" si="11"/>
        <v>-0.03376773230163578</v>
      </c>
      <c r="I42" s="24">
        <f t="shared" si="12"/>
        <v>49.58215041482257</v>
      </c>
      <c r="J42" s="24">
        <f t="shared" si="13"/>
        <v>109.78220575322258</v>
      </c>
      <c r="K42" s="21">
        <v>3125609.18</v>
      </c>
      <c r="L42" s="21">
        <v>2846929.77</v>
      </c>
      <c r="M42" s="25">
        <f t="shared" si="14"/>
        <v>0.09788770096706675</v>
      </c>
      <c r="N42" s="10"/>
      <c r="R42" s="2"/>
    </row>
    <row r="43" spans="1:18" ht="15.75" customHeight="1">
      <c r="A43" s="19"/>
      <c r="B43" s="20">
        <f>DATE(2019,11,1)</f>
        <v>43770</v>
      </c>
      <c r="C43" s="21">
        <v>64340</v>
      </c>
      <c r="D43" s="21">
        <v>61960</v>
      </c>
      <c r="E43" s="23">
        <f t="shared" si="10"/>
        <v>0.03841187863137508</v>
      </c>
      <c r="F43" s="21">
        <f>+C43-35256</f>
        <v>29084</v>
      </c>
      <c r="G43" s="21">
        <f>+D43-34125</f>
        <v>27835</v>
      </c>
      <c r="H43" s="23">
        <f t="shared" si="11"/>
        <v>0.04487156457697144</v>
      </c>
      <c r="I43" s="24">
        <f t="shared" si="12"/>
        <v>49.88366412806963</v>
      </c>
      <c r="J43" s="24">
        <f t="shared" si="13"/>
        <v>110.35328531151148</v>
      </c>
      <c r="K43" s="21">
        <v>3209514.95</v>
      </c>
      <c r="L43" s="21">
        <v>2852375.01</v>
      </c>
      <c r="M43" s="25">
        <f t="shared" si="14"/>
        <v>0.12520791927706604</v>
      </c>
      <c r="N43" s="10"/>
      <c r="R43" s="2"/>
    </row>
    <row r="44" spans="1:18" ht="15.75" customHeight="1">
      <c r="A44" s="19"/>
      <c r="B44" s="20">
        <f>DATE(2019,12,1)</f>
        <v>43800</v>
      </c>
      <c r="C44" s="21">
        <v>68470</v>
      </c>
      <c r="D44" s="21">
        <v>67802</v>
      </c>
      <c r="E44" s="23">
        <f t="shared" si="10"/>
        <v>0.009852216748768473</v>
      </c>
      <c r="F44" s="21">
        <f>+C44-38903</f>
        <v>29567</v>
      </c>
      <c r="G44" s="21">
        <f>+D44-38252</f>
        <v>29550</v>
      </c>
      <c r="H44" s="23">
        <f t="shared" si="11"/>
        <v>0.0005752961082910322</v>
      </c>
      <c r="I44" s="24">
        <f t="shared" si="12"/>
        <v>49.97914692566087</v>
      </c>
      <c r="J44" s="24">
        <f t="shared" si="13"/>
        <v>115.73958095173673</v>
      </c>
      <c r="K44" s="21">
        <v>3422072.19</v>
      </c>
      <c r="L44" s="21">
        <v>3248132.45</v>
      </c>
      <c r="M44" s="25">
        <f t="shared" si="14"/>
        <v>0.053550691875265045</v>
      </c>
      <c r="N44" s="10"/>
      <c r="R44" s="2"/>
    </row>
    <row r="45" spans="1:18" ht="15.75" customHeight="1">
      <c r="A45" s="19"/>
      <c r="B45" s="20">
        <f>DATE(2020,1,1)</f>
        <v>43831</v>
      </c>
      <c r="C45" s="21">
        <v>64187</v>
      </c>
      <c r="D45" s="21">
        <v>58743</v>
      </c>
      <c r="E45" s="23">
        <f t="shared" si="10"/>
        <v>0.0926748718996306</v>
      </c>
      <c r="F45" s="21">
        <f>+C45-35543</f>
        <v>28644</v>
      </c>
      <c r="G45" s="21">
        <f>+D45-31774</f>
        <v>26969</v>
      </c>
      <c r="H45" s="23">
        <f t="shared" si="11"/>
        <v>0.06210834662019356</v>
      </c>
      <c r="I45" s="24">
        <f t="shared" si="12"/>
        <v>50.32449686073504</v>
      </c>
      <c r="J45" s="24">
        <f t="shared" si="13"/>
        <v>112.76981147884374</v>
      </c>
      <c r="K45" s="21">
        <v>3230178.48</v>
      </c>
      <c r="L45" s="21">
        <v>2770218.85</v>
      </c>
      <c r="M45" s="25">
        <f t="shared" si="14"/>
        <v>0.16603728979751903</v>
      </c>
      <c r="N45" s="10"/>
      <c r="R45" s="2"/>
    </row>
    <row r="46" spans="1:18" ht="15.75" customHeight="1">
      <c r="A46" s="19"/>
      <c r="B46" s="20">
        <f>DATE(2020,2,1)</f>
        <v>43862</v>
      </c>
      <c r="C46" s="21">
        <v>69427</v>
      </c>
      <c r="D46" s="21">
        <v>62348</v>
      </c>
      <c r="E46" s="23">
        <f t="shared" si="10"/>
        <v>0.11354012959517547</v>
      </c>
      <c r="F46" s="21">
        <f>+C46-38411</f>
        <v>31016</v>
      </c>
      <c r="G46" s="21">
        <f>+D46-34888</f>
        <v>27460</v>
      </c>
      <c r="H46" s="23">
        <f t="shared" si="11"/>
        <v>0.12949745083758193</v>
      </c>
      <c r="I46" s="24">
        <f t="shared" si="12"/>
        <v>50.62226756161147</v>
      </c>
      <c r="J46" s="24">
        <f t="shared" si="13"/>
        <v>113.31416591436678</v>
      </c>
      <c r="K46" s="21">
        <v>3514552.17</v>
      </c>
      <c r="L46" s="21">
        <v>2905855.64</v>
      </c>
      <c r="M46" s="25">
        <f t="shared" si="14"/>
        <v>0.20947239140895513</v>
      </c>
      <c r="N46" s="10"/>
      <c r="R46" s="2"/>
    </row>
    <row r="47" spans="1:18" ht="15.75" customHeight="1">
      <c r="A47" s="19"/>
      <c r="B47" s="20">
        <f>DATE(2020,3,1)</f>
        <v>43891</v>
      </c>
      <c r="C47" s="21">
        <v>36516</v>
      </c>
      <c r="D47" s="21">
        <v>74820</v>
      </c>
      <c r="E47" s="23">
        <f t="shared" si="10"/>
        <v>-0.5119486768243785</v>
      </c>
      <c r="F47" s="21">
        <f>+C47-19752</f>
        <v>16764</v>
      </c>
      <c r="G47" s="21">
        <f>+D47-42126</f>
        <v>32694</v>
      </c>
      <c r="H47" s="23">
        <f t="shared" si="11"/>
        <v>-0.48724536612222424</v>
      </c>
      <c r="I47" s="24">
        <f t="shared" si="12"/>
        <v>52.213251177566</v>
      </c>
      <c r="J47" s="24">
        <f t="shared" si="13"/>
        <v>113.73294440467669</v>
      </c>
      <c r="K47" s="21">
        <v>1906619.08</v>
      </c>
      <c r="L47" s="21">
        <v>3837736.13</v>
      </c>
      <c r="M47" s="25">
        <f t="shared" si="14"/>
        <v>-0.5031917215215106</v>
      </c>
      <c r="N47" s="10"/>
      <c r="R47" s="2"/>
    </row>
    <row r="48" spans="1:18" ht="15.75" customHeight="1">
      <c r="A48" s="19"/>
      <c r="B48" s="20">
        <f>DATE(2020,4,1)</f>
        <v>43922</v>
      </c>
      <c r="C48" s="21">
        <v>0</v>
      </c>
      <c r="D48" s="21">
        <v>63109</v>
      </c>
      <c r="E48" s="23">
        <f t="shared" si="10"/>
        <v>-1</v>
      </c>
      <c r="F48" s="21">
        <v>0</v>
      </c>
      <c r="G48" s="21">
        <f>+D48-34337</f>
        <v>28772</v>
      </c>
      <c r="H48" s="23">
        <f t="shared" si="11"/>
        <v>-1</v>
      </c>
      <c r="I48" s="24">
        <v>0</v>
      </c>
      <c r="J48" s="24">
        <v>0</v>
      </c>
      <c r="K48" s="21">
        <v>0</v>
      </c>
      <c r="L48" s="21">
        <v>3036557.96</v>
      </c>
      <c r="M48" s="25">
        <f t="shared" si="14"/>
        <v>-1</v>
      </c>
      <c r="N48" s="10"/>
      <c r="R48" s="2"/>
    </row>
    <row r="49" spans="1:18" ht="15.75" customHeight="1">
      <c r="A49" s="19"/>
      <c r="B49" s="20">
        <f>DATE(2020,5,1)</f>
        <v>43952</v>
      </c>
      <c r="C49" s="21">
        <v>0</v>
      </c>
      <c r="D49" s="21">
        <v>68333</v>
      </c>
      <c r="E49" s="23">
        <f t="shared" si="10"/>
        <v>-1</v>
      </c>
      <c r="F49" s="21">
        <v>0</v>
      </c>
      <c r="G49" s="21">
        <f>+D49-36451</f>
        <v>31882</v>
      </c>
      <c r="H49" s="23">
        <f>(+F49-G49)/G49</f>
        <v>-1</v>
      </c>
      <c r="I49" s="24">
        <v>0</v>
      </c>
      <c r="J49" s="24">
        <v>0</v>
      </c>
      <c r="K49" s="21">
        <v>0</v>
      </c>
      <c r="L49" s="21">
        <v>3237390.19</v>
      </c>
      <c r="M49" s="25">
        <f t="shared" si="14"/>
        <v>-1</v>
      </c>
      <c r="N49" s="10"/>
      <c r="R49" s="2"/>
    </row>
    <row r="50" spans="1:18" ht="15.75" customHeight="1">
      <c r="A50" s="19"/>
      <c r="B50" s="20">
        <v>44002</v>
      </c>
      <c r="C50" s="21">
        <v>49315</v>
      </c>
      <c r="D50" s="21">
        <v>64075</v>
      </c>
      <c r="E50" s="23">
        <f t="shared" si="10"/>
        <v>-0.23035505267264925</v>
      </c>
      <c r="F50" s="21">
        <f>+C50-26735</f>
        <v>22580</v>
      </c>
      <c r="G50" s="21">
        <f>+D50-33758</f>
        <v>30317</v>
      </c>
      <c r="H50" s="23">
        <f>(+F50-G50)/G50</f>
        <v>-0.25520335125507143</v>
      </c>
      <c r="I50" s="24">
        <f>K50/C50</f>
        <v>64.67935050187569</v>
      </c>
      <c r="J50" s="24">
        <f>K50/F50</f>
        <v>141.26050354295836</v>
      </c>
      <c r="K50" s="21">
        <v>3189662.17</v>
      </c>
      <c r="L50" s="21">
        <v>3114697.08</v>
      </c>
      <c r="M50" s="25">
        <f t="shared" si="14"/>
        <v>0.024068180010622366</v>
      </c>
      <c r="N50" s="10"/>
      <c r="R50" s="2"/>
    </row>
    <row r="51" spans="1:18" ht="15.75" customHeight="1" thickBot="1">
      <c r="A51" s="38"/>
      <c r="B51" s="20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customHeight="1" thickBot="1" thickTop="1">
      <c r="A52" s="39" t="s">
        <v>14</v>
      </c>
      <c r="B52" s="40"/>
      <c r="C52" s="41">
        <f>SUM(C39:C51)</f>
        <v>616714</v>
      </c>
      <c r="D52" s="41">
        <f>SUM(D39:D51)</f>
        <v>795679</v>
      </c>
      <c r="E52" s="278">
        <f>(+C52-D52)/D52</f>
        <v>-0.22492110511902413</v>
      </c>
      <c r="F52" s="41">
        <f>SUM(F39:F51)</f>
        <v>278044</v>
      </c>
      <c r="G52" s="41">
        <f>SUM(G39:G51)</f>
        <v>362439</v>
      </c>
      <c r="H52" s="42">
        <f>(+F52-G52)/G52</f>
        <v>-0.2328529766388275</v>
      </c>
      <c r="I52" s="43">
        <f>K52/C52</f>
        <v>50.579775746942666</v>
      </c>
      <c r="J52" s="43">
        <f>K52/F52</f>
        <v>112.18819978132957</v>
      </c>
      <c r="K52" s="41">
        <f>SUM(K39:K51)</f>
        <v>31193255.82</v>
      </c>
      <c r="L52" s="41">
        <f>SUM(L39:L51)</f>
        <v>37366338.83</v>
      </c>
      <c r="M52" s="44">
        <f>(+K52-L52)/L52</f>
        <v>-0.1652043845688159</v>
      </c>
      <c r="N52" s="10"/>
      <c r="R52" s="2"/>
    </row>
    <row r="53" spans="1:18" ht="15.75" customHeight="1" thickTop="1">
      <c r="A53" s="38"/>
      <c r="B53" s="45"/>
      <c r="C53" s="21"/>
      <c r="D53" s="21"/>
      <c r="E53" s="23"/>
      <c r="F53" s="21"/>
      <c r="G53" s="21"/>
      <c r="H53" s="23"/>
      <c r="I53" s="24"/>
      <c r="J53" s="24"/>
      <c r="K53" s="21"/>
      <c r="L53" s="21"/>
      <c r="M53" s="25"/>
      <c r="N53" s="10"/>
      <c r="R53" s="2"/>
    </row>
    <row r="54" spans="1:18" ht="15.75" customHeight="1">
      <c r="A54" s="176" t="s">
        <v>65</v>
      </c>
      <c r="B54" s="20">
        <f>DATE(2019,7,1)</f>
        <v>43647</v>
      </c>
      <c r="C54" s="21">
        <v>438217</v>
      </c>
      <c r="D54" s="21">
        <v>465892</v>
      </c>
      <c r="E54" s="23">
        <f aca="true" t="shared" si="15" ref="E54:E65">(+C54-D54)/D54</f>
        <v>-0.059402179045787436</v>
      </c>
      <c r="F54" s="21">
        <f>+C54-221917</f>
        <v>216300</v>
      </c>
      <c r="G54" s="21">
        <f>+D54-233751</f>
        <v>232141</v>
      </c>
      <c r="H54" s="23">
        <f aca="true" t="shared" si="16" ref="H54:H63">(+F54-G54)/G54</f>
        <v>-0.06823869975575189</v>
      </c>
      <c r="I54" s="24">
        <f aca="true" t="shared" si="17" ref="I54:I62">K54/C54</f>
        <v>46.65962582464852</v>
      </c>
      <c r="J54" s="24">
        <f aca="true" t="shared" si="18" ref="J54:J62">K54/F54</f>
        <v>94.53093504392048</v>
      </c>
      <c r="K54" s="21">
        <v>20447041.25</v>
      </c>
      <c r="L54" s="21">
        <v>20180093.42</v>
      </c>
      <c r="M54" s="25">
        <f aca="true" t="shared" si="19" ref="M54:M65">(+K54-L54)/L54</f>
        <v>0.01322827523362368</v>
      </c>
      <c r="N54" s="10"/>
      <c r="R54" s="2"/>
    </row>
    <row r="55" spans="1:18" ht="15.75" customHeight="1">
      <c r="A55" s="176"/>
      <c r="B55" s="20">
        <f>DATE(2019,8,1)</f>
        <v>43678</v>
      </c>
      <c r="C55" s="21">
        <v>437029</v>
      </c>
      <c r="D55" s="21">
        <v>454572</v>
      </c>
      <c r="E55" s="23">
        <f t="shared" si="15"/>
        <v>-0.038592346206981515</v>
      </c>
      <c r="F55" s="21">
        <f>+C55-215022</f>
        <v>222007</v>
      </c>
      <c r="G55" s="21">
        <f>+D55-227733</f>
        <v>226839</v>
      </c>
      <c r="H55" s="23">
        <f t="shared" si="16"/>
        <v>-0.02130145169040597</v>
      </c>
      <c r="I55" s="24">
        <f t="shared" si="17"/>
        <v>48.82252111415947</v>
      </c>
      <c r="J55" s="24">
        <f t="shared" si="18"/>
        <v>96.10894061898948</v>
      </c>
      <c r="K55" s="21">
        <v>21336857.58</v>
      </c>
      <c r="L55" s="21">
        <v>20410400.74</v>
      </c>
      <c r="M55" s="25">
        <f t="shared" si="19"/>
        <v>0.04539140861572324</v>
      </c>
      <c r="N55" s="10"/>
      <c r="R55" s="2"/>
    </row>
    <row r="56" spans="1:18" ht="15.75" customHeight="1">
      <c r="A56" s="176"/>
      <c r="B56" s="20">
        <f>DATE(2019,9,1)</f>
        <v>43709</v>
      </c>
      <c r="C56" s="21">
        <v>403849</v>
      </c>
      <c r="D56" s="21">
        <v>400695</v>
      </c>
      <c r="E56" s="23">
        <f t="shared" si="15"/>
        <v>0.007871323575287937</v>
      </c>
      <c r="F56" s="21">
        <f>+C56-198275</f>
        <v>205574</v>
      </c>
      <c r="G56" s="21">
        <f>+D56-202275</f>
        <v>198420</v>
      </c>
      <c r="H56" s="23">
        <f t="shared" si="16"/>
        <v>0.036054833182138896</v>
      </c>
      <c r="I56" s="24">
        <f t="shared" si="17"/>
        <v>46.879226914019846</v>
      </c>
      <c r="J56" s="24">
        <f t="shared" si="18"/>
        <v>92.09398518295116</v>
      </c>
      <c r="K56" s="21">
        <v>18932128.91</v>
      </c>
      <c r="L56" s="21">
        <v>19424363</v>
      </c>
      <c r="M56" s="25">
        <f t="shared" si="19"/>
        <v>-0.02534106729780533</v>
      </c>
      <c r="N56" s="10"/>
      <c r="R56" s="2"/>
    </row>
    <row r="57" spans="1:18" ht="15.75" customHeight="1">
      <c r="A57" s="176"/>
      <c r="B57" s="20">
        <f>DATE(2019,10,1)</f>
        <v>43739</v>
      </c>
      <c r="C57" s="21">
        <v>396586</v>
      </c>
      <c r="D57" s="21">
        <v>385385</v>
      </c>
      <c r="E57" s="23">
        <f t="shared" si="15"/>
        <v>0.029064442051455038</v>
      </c>
      <c r="F57" s="21">
        <f>+C57-195500</f>
        <v>201086</v>
      </c>
      <c r="G57" s="21">
        <f>+D57-195549</f>
        <v>189836</v>
      </c>
      <c r="H57" s="23">
        <f t="shared" si="16"/>
        <v>0.05926167850144335</v>
      </c>
      <c r="I57" s="24">
        <f t="shared" si="17"/>
        <v>47.99245699545622</v>
      </c>
      <c r="J57" s="24">
        <f t="shared" si="18"/>
        <v>94.6517238892812</v>
      </c>
      <c r="K57" s="21">
        <v>19033136.55</v>
      </c>
      <c r="L57" s="21">
        <v>18152971.32</v>
      </c>
      <c r="M57" s="25">
        <f t="shared" si="19"/>
        <v>0.04848601446476589</v>
      </c>
      <c r="N57" s="10"/>
      <c r="R57" s="2"/>
    </row>
    <row r="58" spans="1:18" ht="15.75" customHeight="1">
      <c r="A58" s="176"/>
      <c r="B58" s="20">
        <f>DATE(2019,11,1)</f>
        <v>43770</v>
      </c>
      <c r="C58" s="21">
        <v>419787</v>
      </c>
      <c r="D58" s="21">
        <v>374346</v>
      </c>
      <c r="E58" s="23">
        <f t="shared" si="15"/>
        <v>0.12138770014905996</v>
      </c>
      <c r="F58" s="21">
        <f>+C58-213343</f>
        <v>206444</v>
      </c>
      <c r="G58" s="21">
        <f>+D58-191013</f>
        <v>183333</v>
      </c>
      <c r="H58" s="23">
        <f t="shared" si="16"/>
        <v>0.12606022920041673</v>
      </c>
      <c r="I58" s="24">
        <f t="shared" si="17"/>
        <v>48.215090343436074</v>
      </c>
      <c r="J58" s="24">
        <f t="shared" si="18"/>
        <v>98.04144528298231</v>
      </c>
      <c r="K58" s="21">
        <v>20240068.13</v>
      </c>
      <c r="L58" s="21">
        <v>17751787.38</v>
      </c>
      <c r="M58" s="25">
        <f t="shared" si="19"/>
        <v>0.14017071615016155</v>
      </c>
      <c r="N58" s="10"/>
      <c r="R58" s="2"/>
    </row>
    <row r="59" spans="1:18" ht="15.75" customHeight="1">
      <c r="A59" s="176"/>
      <c r="B59" s="20">
        <f>DATE(2019,12,1)</f>
        <v>43800</v>
      </c>
      <c r="C59" s="21">
        <v>398020</v>
      </c>
      <c r="D59" s="21">
        <v>412048</v>
      </c>
      <c r="E59" s="23">
        <f t="shared" si="15"/>
        <v>-0.03404457733079641</v>
      </c>
      <c r="F59" s="21">
        <f>+C59-203674</f>
        <v>194346</v>
      </c>
      <c r="G59" s="21">
        <f>+D59-211961</f>
        <v>200087</v>
      </c>
      <c r="H59" s="23">
        <f t="shared" si="16"/>
        <v>-0.02869251875434186</v>
      </c>
      <c r="I59" s="24">
        <f t="shared" si="17"/>
        <v>49.24968504095272</v>
      </c>
      <c r="J59" s="24">
        <f t="shared" si="18"/>
        <v>100.86320088913587</v>
      </c>
      <c r="K59" s="21">
        <v>19602359.64</v>
      </c>
      <c r="L59" s="21">
        <v>19331083.99</v>
      </c>
      <c r="M59" s="25">
        <f t="shared" si="19"/>
        <v>0.014033131827492632</v>
      </c>
      <c r="N59" s="10"/>
      <c r="R59" s="2"/>
    </row>
    <row r="60" spans="1:18" ht="15.75" customHeight="1">
      <c r="A60" s="176"/>
      <c r="B60" s="20">
        <f>DATE(2020,1,1)</f>
        <v>43831</v>
      </c>
      <c r="C60" s="21">
        <v>392807</v>
      </c>
      <c r="D60" s="21">
        <v>344029</v>
      </c>
      <c r="E60" s="23">
        <f t="shared" si="15"/>
        <v>0.14178455885986355</v>
      </c>
      <c r="F60" s="21">
        <f>+C60-203293</f>
        <v>189514</v>
      </c>
      <c r="G60" s="21">
        <f>+D60-177399</f>
        <v>166630</v>
      </c>
      <c r="H60" s="23">
        <f t="shared" si="16"/>
        <v>0.13733421352697595</v>
      </c>
      <c r="I60" s="24">
        <f t="shared" si="17"/>
        <v>48.6937611091452</v>
      </c>
      <c r="J60" s="24">
        <f t="shared" si="18"/>
        <v>100.92790094663191</v>
      </c>
      <c r="K60" s="21">
        <v>19127250.22</v>
      </c>
      <c r="L60" s="21">
        <v>16412573.12</v>
      </c>
      <c r="M60" s="25">
        <f t="shared" si="19"/>
        <v>0.16540228519633854</v>
      </c>
      <c r="N60" s="10"/>
      <c r="R60" s="2"/>
    </row>
    <row r="61" spans="1:18" ht="15.75" customHeight="1">
      <c r="A61" s="176"/>
      <c r="B61" s="20">
        <f>DATE(2020,2,1)</f>
        <v>43862</v>
      </c>
      <c r="C61" s="21">
        <v>433656</v>
      </c>
      <c r="D61" s="21">
        <v>384321</v>
      </c>
      <c r="E61" s="23">
        <f t="shared" si="15"/>
        <v>0.12836925382687908</v>
      </c>
      <c r="F61" s="21">
        <f>+C61-224157</f>
        <v>209499</v>
      </c>
      <c r="G61" s="21">
        <f>+D61-196867</f>
        <v>187454</v>
      </c>
      <c r="H61" s="23">
        <f t="shared" si="16"/>
        <v>0.11760218506940369</v>
      </c>
      <c r="I61" s="24">
        <f t="shared" si="17"/>
        <v>47.5396399219658</v>
      </c>
      <c r="J61" s="24">
        <f t="shared" si="18"/>
        <v>98.4054820786734</v>
      </c>
      <c r="K61" s="21">
        <v>20615850.09</v>
      </c>
      <c r="L61" s="21">
        <v>18593274.64</v>
      </c>
      <c r="M61" s="25">
        <f t="shared" si="19"/>
        <v>0.10877994808127027</v>
      </c>
      <c r="N61" s="10"/>
      <c r="R61" s="2"/>
    </row>
    <row r="62" spans="1:18" ht="15.75" customHeight="1">
      <c r="A62" s="176"/>
      <c r="B62" s="20">
        <f>DATE(2020,3,1)</f>
        <v>43891</v>
      </c>
      <c r="C62" s="21">
        <v>188413</v>
      </c>
      <c r="D62" s="21">
        <v>466183</v>
      </c>
      <c r="E62" s="23">
        <f t="shared" si="15"/>
        <v>-0.5958389731071274</v>
      </c>
      <c r="F62" s="21">
        <f>+C62-94334</f>
        <v>94079</v>
      </c>
      <c r="G62" s="21">
        <f>+D62-241983</f>
        <v>224200</v>
      </c>
      <c r="H62" s="23">
        <f t="shared" si="16"/>
        <v>-0.5803791257805531</v>
      </c>
      <c r="I62" s="24">
        <f t="shared" si="17"/>
        <v>50.51751360044158</v>
      </c>
      <c r="J62" s="24">
        <f t="shared" si="18"/>
        <v>101.17195431499059</v>
      </c>
      <c r="K62" s="21">
        <v>9518156.29</v>
      </c>
      <c r="L62" s="21">
        <v>22983143.93</v>
      </c>
      <c r="M62" s="25">
        <f t="shared" si="19"/>
        <v>-0.5858636086085721</v>
      </c>
      <c r="N62" s="10"/>
      <c r="R62" s="2"/>
    </row>
    <row r="63" spans="1:18" ht="15.75" customHeight="1">
      <c r="A63" s="176"/>
      <c r="B63" s="20">
        <f>DATE(2020,4,1)</f>
        <v>43922</v>
      </c>
      <c r="C63" s="21">
        <v>0</v>
      </c>
      <c r="D63" s="21">
        <v>375553</v>
      </c>
      <c r="E63" s="23">
        <f t="shared" si="15"/>
        <v>-1</v>
      </c>
      <c r="F63" s="21">
        <v>0</v>
      </c>
      <c r="G63" s="21">
        <f>+D63-190026</f>
        <v>185527</v>
      </c>
      <c r="H63" s="23">
        <f t="shared" si="16"/>
        <v>-1</v>
      </c>
      <c r="I63" s="24">
        <v>0</v>
      </c>
      <c r="J63" s="24">
        <v>0</v>
      </c>
      <c r="K63" s="21">
        <v>0</v>
      </c>
      <c r="L63" s="21">
        <v>18810153.29</v>
      </c>
      <c r="M63" s="25">
        <f t="shared" si="19"/>
        <v>-1</v>
      </c>
      <c r="N63" s="10"/>
      <c r="R63" s="2"/>
    </row>
    <row r="64" spans="1:18" ht="15.75" customHeight="1">
      <c r="A64" s="176"/>
      <c r="B64" s="20">
        <f>DATE(2020,5,1)</f>
        <v>43952</v>
      </c>
      <c r="C64" s="21">
        <v>0</v>
      </c>
      <c r="D64" s="21">
        <v>427877</v>
      </c>
      <c r="E64" s="23">
        <f t="shared" si="15"/>
        <v>-1</v>
      </c>
      <c r="F64" s="21">
        <v>0</v>
      </c>
      <c r="G64" s="21">
        <f>+D64-215501</f>
        <v>212376</v>
      </c>
      <c r="H64" s="23">
        <f>(+F64-G64)/G64</f>
        <v>-1</v>
      </c>
      <c r="I64" s="24">
        <v>0</v>
      </c>
      <c r="J64" s="24">
        <v>0</v>
      </c>
      <c r="K64" s="21">
        <v>0</v>
      </c>
      <c r="L64" s="21">
        <v>20865157.11</v>
      </c>
      <c r="M64" s="25">
        <f t="shared" si="19"/>
        <v>-1</v>
      </c>
      <c r="N64" s="10"/>
      <c r="R64" s="2"/>
    </row>
    <row r="65" spans="1:18" ht="15.75" customHeight="1">
      <c r="A65" s="176"/>
      <c r="B65" s="20">
        <v>44002</v>
      </c>
      <c r="C65" s="21">
        <v>108656</v>
      </c>
      <c r="D65" s="21">
        <v>419586</v>
      </c>
      <c r="E65" s="23">
        <f t="shared" si="15"/>
        <v>-0.7410399775016325</v>
      </c>
      <c r="F65" s="21">
        <f>+C65-58073</f>
        <v>50583</v>
      </c>
      <c r="G65" s="21">
        <f>+D65-214565</f>
        <v>205021</v>
      </c>
      <c r="H65" s="23">
        <f>(+F65-G65)/G65</f>
        <v>-0.7532789324020466</v>
      </c>
      <c r="I65" s="24">
        <f>K65/C65</f>
        <v>72.08559738992784</v>
      </c>
      <c r="J65" s="24">
        <f>K65/F65</f>
        <v>154.84515884783426</v>
      </c>
      <c r="K65" s="21">
        <v>7832532.67</v>
      </c>
      <c r="L65" s="21">
        <v>20561824.86</v>
      </c>
      <c r="M65" s="25">
        <f t="shared" si="19"/>
        <v>-0.6190740499284654</v>
      </c>
      <c r="N65" s="10"/>
      <c r="R65" s="2"/>
    </row>
    <row r="66" spans="1:18" ht="15" thickBot="1">
      <c r="A66" s="38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6.5" thickBot="1" thickTop="1">
      <c r="A67" s="39" t="s">
        <v>14</v>
      </c>
      <c r="B67" s="40"/>
      <c r="C67" s="41">
        <f>SUM(C54:C66)</f>
        <v>3617020</v>
      </c>
      <c r="D67" s="41">
        <f>SUM(D54:D66)</f>
        <v>4910487</v>
      </c>
      <c r="E67" s="278">
        <f>(+C67-D67)/D67</f>
        <v>-0.26340910789500105</v>
      </c>
      <c r="F67" s="41">
        <f>SUM(F54:F66)</f>
        <v>1789432</v>
      </c>
      <c r="G67" s="41">
        <f>SUM(G54:G66)</f>
        <v>2411864</v>
      </c>
      <c r="H67" s="42">
        <f>(+F67-G67)/G67</f>
        <v>-0.25807093600634196</v>
      </c>
      <c r="I67" s="43">
        <f>K67/C67</f>
        <v>48.84832854946889</v>
      </c>
      <c r="J67" s="43">
        <f>K67/F67</f>
        <v>98.73824841066883</v>
      </c>
      <c r="K67" s="41">
        <f>SUM(K54:K66)</f>
        <v>176685381.32999995</v>
      </c>
      <c r="L67" s="41">
        <f>SUM(L54:L66)</f>
        <v>233476826.8</v>
      </c>
      <c r="M67" s="44">
        <f>(+K67-L67)/L67</f>
        <v>-0.24324232193993506</v>
      </c>
      <c r="N67" s="10"/>
      <c r="R67" s="2"/>
    </row>
    <row r="68" spans="1:18" ht="15" thickTop="1">
      <c r="A68" s="38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">
      <c r="A69" s="19" t="s">
        <v>16</v>
      </c>
      <c r="B69" s="20">
        <f>DATE(2019,7,1)</f>
        <v>43647</v>
      </c>
      <c r="C69" s="21">
        <v>288759</v>
      </c>
      <c r="D69" s="21">
        <v>289167</v>
      </c>
      <c r="E69" s="23">
        <f aca="true" t="shared" si="20" ref="E69:E80">(+C69-D69)/D69</f>
        <v>-0.001410949382190914</v>
      </c>
      <c r="F69" s="21">
        <f>+C69-131177</f>
        <v>157582</v>
      </c>
      <c r="G69" s="21">
        <f>+D69-134357</f>
        <v>154810</v>
      </c>
      <c r="H69" s="23">
        <f aca="true" t="shared" si="21" ref="H69:H78">(+F69-G69)/G69</f>
        <v>0.01790582003746528</v>
      </c>
      <c r="I69" s="24">
        <f aca="true" t="shared" si="22" ref="I69:I77">K69/C69</f>
        <v>48.75163974109898</v>
      </c>
      <c r="J69" s="24">
        <f aca="true" t="shared" si="23" ref="J69:J77">K69/F69</f>
        <v>89.3342814534655</v>
      </c>
      <c r="K69" s="21">
        <v>14077474.74</v>
      </c>
      <c r="L69" s="21">
        <v>14895059.23</v>
      </c>
      <c r="M69" s="25">
        <f aca="true" t="shared" si="24" ref="M69:M80">(+K69-L69)/L69</f>
        <v>-0.054889643429769715</v>
      </c>
      <c r="N69" s="10"/>
      <c r="R69" s="2"/>
    </row>
    <row r="70" spans="1:18" ht="15">
      <c r="A70" s="19"/>
      <c r="B70" s="20">
        <f>DATE(2019,8,1)</f>
        <v>43678</v>
      </c>
      <c r="C70" s="21">
        <v>292957</v>
      </c>
      <c r="D70" s="21">
        <v>292132</v>
      </c>
      <c r="E70" s="23">
        <f t="shared" si="20"/>
        <v>0.0028240658332534608</v>
      </c>
      <c r="F70" s="21">
        <f>+C70-131852</f>
        <v>161105</v>
      </c>
      <c r="G70" s="21">
        <f>+D70-136807</f>
        <v>155325</v>
      </c>
      <c r="H70" s="23">
        <f t="shared" si="21"/>
        <v>0.03721229679703847</v>
      </c>
      <c r="I70" s="24">
        <f t="shared" si="22"/>
        <v>53.18311991179593</v>
      </c>
      <c r="J70" s="24">
        <f t="shared" si="23"/>
        <v>96.70939610812823</v>
      </c>
      <c r="K70" s="21">
        <v>15580367.26</v>
      </c>
      <c r="L70" s="21">
        <v>14589427.75</v>
      </c>
      <c r="M70" s="25">
        <f t="shared" si="24"/>
        <v>0.06792175313387462</v>
      </c>
      <c r="N70" s="10"/>
      <c r="R70" s="2"/>
    </row>
    <row r="71" spans="1:18" ht="15">
      <c r="A71" s="19"/>
      <c r="B71" s="20">
        <f>DATE(2019,9,1)</f>
        <v>43709</v>
      </c>
      <c r="C71" s="21">
        <v>276713</v>
      </c>
      <c r="D71" s="21">
        <v>292955</v>
      </c>
      <c r="E71" s="23">
        <f t="shared" si="20"/>
        <v>-0.05544196207608677</v>
      </c>
      <c r="F71" s="21">
        <f>+C71-125818</f>
        <v>150895</v>
      </c>
      <c r="G71" s="21">
        <f>+D71-135433</f>
        <v>157522</v>
      </c>
      <c r="H71" s="23">
        <f t="shared" si="21"/>
        <v>-0.04207031398788741</v>
      </c>
      <c r="I71" s="24">
        <f t="shared" si="22"/>
        <v>52.91830336847203</v>
      </c>
      <c r="J71" s="24">
        <f t="shared" si="23"/>
        <v>97.04219808476093</v>
      </c>
      <c r="K71" s="21">
        <v>14643182.48</v>
      </c>
      <c r="L71" s="21">
        <v>15232551.26</v>
      </c>
      <c r="M71" s="25">
        <f t="shared" si="24"/>
        <v>-0.03869140303158903</v>
      </c>
      <c r="N71" s="10"/>
      <c r="R71" s="2"/>
    </row>
    <row r="72" spans="1:18" ht="15">
      <c r="A72" s="19"/>
      <c r="B72" s="20">
        <f>DATE(2019,10,1)</f>
        <v>43739</v>
      </c>
      <c r="C72" s="21">
        <v>265282</v>
      </c>
      <c r="D72" s="21">
        <v>283107</v>
      </c>
      <c r="E72" s="23">
        <f t="shared" si="20"/>
        <v>-0.06296206028109513</v>
      </c>
      <c r="F72" s="21">
        <f>+C72-120858</f>
        <v>144424</v>
      </c>
      <c r="G72" s="21">
        <f>+D72-129714</f>
        <v>153393</v>
      </c>
      <c r="H72" s="23">
        <f t="shared" si="21"/>
        <v>-0.058470725522025126</v>
      </c>
      <c r="I72" s="24">
        <f t="shared" si="22"/>
        <v>55.320004071139394</v>
      </c>
      <c r="J72" s="24">
        <f t="shared" si="23"/>
        <v>101.61331440757769</v>
      </c>
      <c r="K72" s="21">
        <v>14675401.32</v>
      </c>
      <c r="L72" s="21">
        <v>14681050.11</v>
      </c>
      <c r="M72" s="25">
        <f t="shared" si="24"/>
        <v>-0.00038476743541331776</v>
      </c>
      <c r="N72" s="10"/>
      <c r="R72" s="2"/>
    </row>
    <row r="73" spans="1:18" ht="15">
      <c r="A73" s="19"/>
      <c r="B73" s="20">
        <f>DATE(2019,11,1)</f>
        <v>43770</v>
      </c>
      <c r="C73" s="21">
        <v>288764</v>
      </c>
      <c r="D73" s="21">
        <v>270987</v>
      </c>
      <c r="E73" s="23">
        <f t="shared" si="20"/>
        <v>0.0656009328860794</v>
      </c>
      <c r="F73" s="21">
        <f>+C73-130395</f>
        <v>158369</v>
      </c>
      <c r="G73" s="21">
        <f>+D73-127087</f>
        <v>143900</v>
      </c>
      <c r="H73" s="23">
        <f t="shared" si="21"/>
        <v>0.10054899235580264</v>
      </c>
      <c r="I73" s="24">
        <f t="shared" si="22"/>
        <v>50.37351086007951</v>
      </c>
      <c r="J73" s="24">
        <f t="shared" si="23"/>
        <v>91.84914023577846</v>
      </c>
      <c r="K73" s="21">
        <v>14546056.49</v>
      </c>
      <c r="L73" s="21">
        <v>13799099.2</v>
      </c>
      <c r="M73" s="25">
        <f t="shared" si="24"/>
        <v>0.05413087326743771</v>
      </c>
      <c r="N73" s="10"/>
      <c r="R73" s="2"/>
    </row>
    <row r="74" spans="1:18" ht="15">
      <c r="A74" s="19"/>
      <c r="B74" s="20">
        <f>DATE(2019,12,1)</f>
        <v>43800</v>
      </c>
      <c r="C74" s="21">
        <v>302309</v>
      </c>
      <c r="D74" s="21">
        <v>307184</v>
      </c>
      <c r="E74" s="23">
        <f t="shared" si="20"/>
        <v>-0.015869967185790926</v>
      </c>
      <c r="F74" s="21">
        <f>+C74-138214</f>
        <v>164095</v>
      </c>
      <c r="G74" s="21">
        <f>+D74-142869</f>
        <v>164315</v>
      </c>
      <c r="H74" s="23">
        <f t="shared" si="21"/>
        <v>-0.001338891762772723</v>
      </c>
      <c r="I74" s="24">
        <f t="shared" si="22"/>
        <v>49.246940812215314</v>
      </c>
      <c r="J74" s="24">
        <f t="shared" si="23"/>
        <v>90.72667314665286</v>
      </c>
      <c r="K74" s="21">
        <v>14887793.43</v>
      </c>
      <c r="L74" s="21">
        <v>15587002.33</v>
      </c>
      <c r="M74" s="25">
        <f t="shared" si="24"/>
        <v>-0.04485845868222183</v>
      </c>
      <c r="N74" s="10"/>
      <c r="R74" s="2"/>
    </row>
    <row r="75" spans="1:18" ht="15">
      <c r="A75" s="19"/>
      <c r="B75" s="20">
        <f>DATE(2020,1,1)</f>
        <v>43831</v>
      </c>
      <c r="C75" s="21">
        <v>268298</v>
      </c>
      <c r="D75" s="21">
        <v>270469</v>
      </c>
      <c r="E75" s="23">
        <f t="shared" si="20"/>
        <v>-0.008026797895507433</v>
      </c>
      <c r="F75" s="21">
        <f>+C75-120188</f>
        <v>148110</v>
      </c>
      <c r="G75" s="21">
        <f>+D75-125284</f>
        <v>145185</v>
      </c>
      <c r="H75" s="23">
        <f t="shared" si="21"/>
        <v>0.02014670937080277</v>
      </c>
      <c r="I75" s="24">
        <f t="shared" si="22"/>
        <v>53.78360677306577</v>
      </c>
      <c r="J75" s="24">
        <f t="shared" si="23"/>
        <v>97.42781804064548</v>
      </c>
      <c r="K75" s="21">
        <v>14430034.13</v>
      </c>
      <c r="L75" s="21">
        <v>12515035.97</v>
      </c>
      <c r="M75" s="25">
        <f t="shared" si="24"/>
        <v>0.15301579352951714</v>
      </c>
      <c r="N75" s="10"/>
      <c r="R75" s="2"/>
    </row>
    <row r="76" spans="1:18" ht="15">
      <c r="A76" s="19"/>
      <c r="B76" s="20">
        <f>DATE(2020,2,1)</f>
        <v>43862</v>
      </c>
      <c r="C76" s="21">
        <v>290524</v>
      </c>
      <c r="D76" s="21">
        <v>258062</v>
      </c>
      <c r="E76" s="23">
        <f t="shared" si="20"/>
        <v>0.12579147646689556</v>
      </c>
      <c r="F76" s="21">
        <f>+C76-132889</f>
        <v>157635</v>
      </c>
      <c r="G76" s="21">
        <f>+D76-117954</f>
        <v>140108</v>
      </c>
      <c r="H76" s="23">
        <f t="shared" si="21"/>
        <v>0.12509635424101406</v>
      </c>
      <c r="I76" s="24">
        <f t="shared" si="22"/>
        <v>52.84674453745646</v>
      </c>
      <c r="J76" s="24">
        <f t="shared" si="23"/>
        <v>97.3974536746281</v>
      </c>
      <c r="K76" s="21">
        <v>15353247.61</v>
      </c>
      <c r="L76" s="21">
        <v>12227578.7</v>
      </c>
      <c r="M76" s="25">
        <f t="shared" si="24"/>
        <v>0.25562451787777085</v>
      </c>
      <c r="N76" s="10"/>
      <c r="R76" s="2"/>
    </row>
    <row r="77" spans="1:18" ht="15">
      <c r="A77" s="19"/>
      <c r="B77" s="20">
        <f>DATE(2020,3,1)</f>
        <v>43891</v>
      </c>
      <c r="C77" s="21">
        <v>144177</v>
      </c>
      <c r="D77" s="21">
        <v>321100</v>
      </c>
      <c r="E77" s="23">
        <f t="shared" si="20"/>
        <v>-0.5509903456867019</v>
      </c>
      <c r="F77" s="21">
        <f>+C77-66448</f>
        <v>77729</v>
      </c>
      <c r="G77" s="21">
        <f>+D77-149429</f>
        <v>171671</v>
      </c>
      <c r="H77" s="23">
        <f t="shared" si="21"/>
        <v>-0.5472211381071934</v>
      </c>
      <c r="I77" s="24">
        <f t="shared" si="22"/>
        <v>50.23804330787851</v>
      </c>
      <c r="J77" s="24">
        <f t="shared" si="23"/>
        <v>93.18491644045338</v>
      </c>
      <c r="K77" s="21">
        <v>7243170.37</v>
      </c>
      <c r="L77" s="21">
        <v>17965716.99</v>
      </c>
      <c r="M77" s="25">
        <f t="shared" si="24"/>
        <v>-0.5968337710077664</v>
      </c>
      <c r="N77" s="10"/>
      <c r="R77" s="2"/>
    </row>
    <row r="78" spans="1:18" ht="15">
      <c r="A78" s="19"/>
      <c r="B78" s="20">
        <f>DATE(2020,4,1)</f>
        <v>43922</v>
      </c>
      <c r="C78" s="21">
        <v>0</v>
      </c>
      <c r="D78" s="21">
        <v>281831</v>
      </c>
      <c r="E78" s="23">
        <f t="shared" si="20"/>
        <v>-1</v>
      </c>
      <c r="F78" s="21">
        <v>0</v>
      </c>
      <c r="G78" s="21">
        <f>+D78-132506</f>
        <v>149325</v>
      </c>
      <c r="H78" s="23">
        <f t="shared" si="21"/>
        <v>-1</v>
      </c>
      <c r="I78" s="24">
        <v>0</v>
      </c>
      <c r="J78" s="24">
        <v>0</v>
      </c>
      <c r="K78" s="21">
        <v>0</v>
      </c>
      <c r="L78" s="21">
        <v>14357294.83</v>
      </c>
      <c r="M78" s="25">
        <f t="shared" si="24"/>
        <v>-1</v>
      </c>
      <c r="N78" s="10"/>
      <c r="R78" s="2"/>
    </row>
    <row r="79" spans="1:18" ht="15">
      <c r="A79" s="19"/>
      <c r="B79" s="20">
        <f>DATE(2020,5,1)</f>
        <v>43952</v>
      </c>
      <c r="C79" s="21">
        <v>0</v>
      </c>
      <c r="D79" s="21">
        <v>301486</v>
      </c>
      <c r="E79" s="23">
        <f t="shared" si="20"/>
        <v>-1</v>
      </c>
      <c r="F79" s="21">
        <v>0</v>
      </c>
      <c r="G79" s="21">
        <f>+D79-140257</f>
        <v>161229</v>
      </c>
      <c r="H79" s="23">
        <f>(+F79-G79)/G79</f>
        <v>-1</v>
      </c>
      <c r="I79" s="24">
        <v>0</v>
      </c>
      <c r="J79" s="24">
        <v>0</v>
      </c>
      <c r="K79" s="21">
        <v>0</v>
      </c>
      <c r="L79" s="21">
        <v>17370202.57</v>
      </c>
      <c r="M79" s="25">
        <f t="shared" si="24"/>
        <v>-1</v>
      </c>
      <c r="N79" s="10"/>
      <c r="R79" s="2"/>
    </row>
    <row r="80" spans="1:18" ht="15">
      <c r="A80" s="19"/>
      <c r="B80" s="20">
        <v>44002</v>
      </c>
      <c r="C80" s="21">
        <v>230507</v>
      </c>
      <c r="D80" s="21">
        <v>282384</v>
      </c>
      <c r="E80" s="23">
        <f t="shared" si="20"/>
        <v>-0.18371083347498443</v>
      </c>
      <c r="F80" s="21">
        <f>+C80-109409</f>
        <v>121098</v>
      </c>
      <c r="G80" s="21">
        <f>+D80-128030</f>
        <v>154354</v>
      </c>
      <c r="H80" s="23">
        <f>(+F80-G80)/G80</f>
        <v>-0.21545279033909065</v>
      </c>
      <c r="I80" s="24">
        <f>K80/C80</f>
        <v>64.92553727218696</v>
      </c>
      <c r="J80" s="24">
        <f>K80/F80</f>
        <v>123.58412872219195</v>
      </c>
      <c r="K80" s="21">
        <v>14965790.82</v>
      </c>
      <c r="L80" s="21">
        <v>14480731.03</v>
      </c>
      <c r="M80" s="25">
        <f t="shared" si="24"/>
        <v>0.03349691317345054</v>
      </c>
      <c r="N80" s="10"/>
      <c r="R80" s="2"/>
    </row>
    <row r="81" spans="1:18" ht="15" thickBot="1">
      <c r="A81" s="38"/>
      <c r="B81" s="20"/>
      <c r="C81" s="21"/>
      <c r="D81" s="21"/>
      <c r="E81" s="23"/>
      <c r="F81" s="21"/>
      <c r="G81" s="21"/>
      <c r="H81" s="23"/>
      <c r="I81" s="24"/>
      <c r="J81" s="24"/>
      <c r="K81" s="21"/>
      <c r="L81" s="21"/>
      <c r="M81" s="25"/>
      <c r="N81" s="10"/>
      <c r="R81" s="2"/>
    </row>
    <row r="82" spans="1:18" ht="16.5" thickBot="1" thickTop="1">
      <c r="A82" s="39" t="s">
        <v>14</v>
      </c>
      <c r="B82" s="40"/>
      <c r="C82" s="41">
        <f>SUM(C69:C81)</f>
        <v>2648290</v>
      </c>
      <c r="D82" s="41">
        <f>SUM(D69:D81)</f>
        <v>3450864</v>
      </c>
      <c r="E82" s="279">
        <f>(+C82-D82)/D82</f>
        <v>-0.23257190083410995</v>
      </c>
      <c r="F82" s="46">
        <f>SUM(F69:F81)</f>
        <v>1441042</v>
      </c>
      <c r="G82" s="47">
        <f>SUM(G69:G81)</f>
        <v>1851137</v>
      </c>
      <c r="H82" s="48">
        <f>(+F82-G82)/G82</f>
        <v>-0.2215368176423463</v>
      </c>
      <c r="I82" s="49">
        <f>K82/C82</f>
        <v>53.01629302304506</v>
      </c>
      <c r="J82" s="50">
        <f>K82/F82</f>
        <v>97.43124672979691</v>
      </c>
      <c r="K82" s="47">
        <f>SUM(K69:K81)</f>
        <v>140402518.65</v>
      </c>
      <c r="L82" s="46">
        <f>SUM(L69:L81)</f>
        <v>177700749.97</v>
      </c>
      <c r="M82" s="44">
        <f>(+K82-L82)/L82</f>
        <v>-0.20989349412592123</v>
      </c>
      <c r="N82" s="10"/>
      <c r="R82" s="2"/>
    </row>
    <row r="83" spans="1:18" ht="15.75" customHeight="1" thickTop="1">
      <c r="A83" s="272"/>
      <c r="B83" s="45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5">
      <c r="A84" s="273" t="s">
        <v>66</v>
      </c>
      <c r="B84" s="20">
        <f>DATE(2019,7,1)</f>
        <v>43647</v>
      </c>
      <c r="C84" s="21">
        <v>110928</v>
      </c>
      <c r="D84" s="21">
        <v>129160</v>
      </c>
      <c r="E84" s="23">
        <f aca="true" t="shared" si="25" ref="E84:E95">(+C84-D84)/D84</f>
        <v>-0.1411582533292041</v>
      </c>
      <c r="F84" s="21">
        <f>+C84-54910</f>
        <v>56018</v>
      </c>
      <c r="G84" s="21">
        <f>+D84-62596</f>
        <v>66564</v>
      </c>
      <c r="H84" s="23">
        <f aca="true" t="shared" si="26" ref="H84:H93">(+F84-G84)/G84</f>
        <v>-0.15843398834204675</v>
      </c>
      <c r="I84" s="24">
        <f aca="true" t="shared" si="27" ref="I84:I92">K84/C84</f>
        <v>40.17884745059859</v>
      </c>
      <c r="J84" s="24">
        <f aca="true" t="shared" si="28" ref="J84:J92">K84/F84</f>
        <v>79.56298314827377</v>
      </c>
      <c r="K84" s="21">
        <v>4456959.19</v>
      </c>
      <c r="L84" s="21">
        <v>5218892.55</v>
      </c>
      <c r="M84" s="25">
        <f aca="true" t="shared" si="29" ref="M84:M95">(+K84-L84)/L84</f>
        <v>-0.1459952188515549</v>
      </c>
      <c r="N84" s="10"/>
      <c r="R84" s="2"/>
    </row>
    <row r="85" spans="1:18" ht="15">
      <c r="A85" s="273"/>
      <c r="B85" s="20">
        <f>DATE(2019,8,1)</f>
        <v>43678</v>
      </c>
      <c r="C85" s="21">
        <v>114308</v>
      </c>
      <c r="D85" s="21">
        <v>120860</v>
      </c>
      <c r="E85" s="23">
        <f t="shared" si="25"/>
        <v>-0.05421148436207182</v>
      </c>
      <c r="F85" s="21">
        <f>+C85-54234</f>
        <v>60074</v>
      </c>
      <c r="G85" s="21">
        <f>+D85-58336</f>
        <v>62524</v>
      </c>
      <c r="H85" s="23">
        <f t="shared" si="26"/>
        <v>-0.03918495297805643</v>
      </c>
      <c r="I85" s="24">
        <f t="shared" si="27"/>
        <v>45.628914424187286</v>
      </c>
      <c r="J85" s="24">
        <f t="shared" si="28"/>
        <v>86.82208526151081</v>
      </c>
      <c r="K85" s="21">
        <v>5215749.95</v>
      </c>
      <c r="L85" s="21">
        <v>5263252.67</v>
      </c>
      <c r="M85" s="25">
        <f t="shared" si="29"/>
        <v>-0.009025354277737865</v>
      </c>
      <c r="N85" s="10"/>
      <c r="R85" s="2"/>
    </row>
    <row r="86" spans="1:18" ht="15">
      <c r="A86" s="273"/>
      <c r="B86" s="20">
        <f>DATE(2019,9,1)</f>
        <v>43709</v>
      </c>
      <c r="C86" s="21">
        <v>108669</v>
      </c>
      <c r="D86" s="21">
        <v>129571</v>
      </c>
      <c r="E86" s="23">
        <f t="shared" si="25"/>
        <v>-0.1613169613570938</v>
      </c>
      <c r="F86" s="21">
        <f>+C86-53294</f>
        <v>55375</v>
      </c>
      <c r="G86" s="21">
        <f>+D86-62477</f>
        <v>67094</v>
      </c>
      <c r="H86" s="23">
        <f t="shared" si="26"/>
        <v>-0.17466539481920887</v>
      </c>
      <c r="I86" s="24">
        <f t="shared" si="27"/>
        <v>46.652023300113186</v>
      </c>
      <c r="J86" s="24">
        <f t="shared" si="28"/>
        <v>91.55085724604966</v>
      </c>
      <c r="K86" s="21">
        <v>5069628.72</v>
      </c>
      <c r="L86" s="21">
        <v>5057302.72</v>
      </c>
      <c r="M86" s="25">
        <f t="shared" si="29"/>
        <v>0.0024372675875728475</v>
      </c>
      <c r="N86" s="10"/>
      <c r="R86" s="2"/>
    </row>
    <row r="87" spans="1:18" ht="15">
      <c r="A87" s="273"/>
      <c r="B87" s="20">
        <f>DATE(2019,10,1)</f>
        <v>43739</v>
      </c>
      <c r="C87" s="21">
        <v>108635</v>
      </c>
      <c r="D87" s="21">
        <v>116235</v>
      </c>
      <c r="E87" s="23">
        <f t="shared" si="25"/>
        <v>-0.0653847808319353</v>
      </c>
      <c r="F87" s="21">
        <f>+C87-52866</f>
        <v>55769</v>
      </c>
      <c r="G87" s="21">
        <f>+D87-55536</f>
        <v>60699</v>
      </c>
      <c r="H87" s="23">
        <f t="shared" si="26"/>
        <v>-0.08122044844231371</v>
      </c>
      <c r="I87" s="24">
        <f t="shared" si="27"/>
        <v>46.97786588116169</v>
      </c>
      <c r="J87" s="24">
        <f t="shared" si="28"/>
        <v>91.51034553246427</v>
      </c>
      <c r="K87" s="21">
        <v>5103440.46</v>
      </c>
      <c r="L87" s="21">
        <v>4939589.44</v>
      </c>
      <c r="M87" s="25">
        <f t="shared" si="29"/>
        <v>0.033170979489339815</v>
      </c>
      <c r="N87" s="10"/>
      <c r="R87" s="2"/>
    </row>
    <row r="88" spans="1:18" ht="15">
      <c r="A88" s="273"/>
      <c r="B88" s="20">
        <f>DATE(2019,11,1)</f>
        <v>43770</v>
      </c>
      <c r="C88" s="21">
        <v>108978</v>
      </c>
      <c r="D88" s="21">
        <v>117294</v>
      </c>
      <c r="E88" s="23">
        <f t="shared" si="25"/>
        <v>-0.0708987672003683</v>
      </c>
      <c r="F88" s="21">
        <f>+C88-53627</f>
        <v>55351</v>
      </c>
      <c r="G88" s="21">
        <f>+D88-56187</f>
        <v>61107</v>
      </c>
      <c r="H88" s="23">
        <f t="shared" si="26"/>
        <v>-0.09419542769240839</v>
      </c>
      <c r="I88" s="24">
        <f t="shared" si="27"/>
        <v>46.87806557286792</v>
      </c>
      <c r="J88" s="24">
        <f t="shared" si="28"/>
        <v>92.29603494065148</v>
      </c>
      <c r="K88" s="21">
        <v>5108677.83</v>
      </c>
      <c r="L88" s="21">
        <v>4901524.07</v>
      </c>
      <c r="M88" s="25">
        <f t="shared" si="29"/>
        <v>0.04226313225061848</v>
      </c>
      <c r="N88" s="10"/>
      <c r="R88" s="2"/>
    </row>
    <row r="89" spans="1:18" ht="15">
      <c r="A89" s="273"/>
      <c r="B89" s="20">
        <f>DATE(2019,12,1)</f>
        <v>43800</v>
      </c>
      <c r="C89" s="21">
        <v>115824</v>
      </c>
      <c r="D89" s="21">
        <v>141406</v>
      </c>
      <c r="E89" s="23">
        <f t="shared" si="25"/>
        <v>-0.180911701059361</v>
      </c>
      <c r="F89" s="21">
        <f>+C89-57047</f>
        <v>58777</v>
      </c>
      <c r="G89" s="21">
        <f>+D89-68500</f>
        <v>72906</v>
      </c>
      <c r="H89" s="23">
        <f t="shared" si="26"/>
        <v>-0.19379749266178367</v>
      </c>
      <c r="I89" s="24">
        <f t="shared" si="27"/>
        <v>46.34526790647879</v>
      </c>
      <c r="J89" s="24">
        <f t="shared" si="28"/>
        <v>91.32644248600643</v>
      </c>
      <c r="K89" s="21">
        <v>5367894.31</v>
      </c>
      <c r="L89" s="21">
        <v>5509337.69</v>
      </c>
      <c r="M89" s="25">
        <f t="shared" si="29"/>
        <v>-0.025673390879040636</v>
      </c>
      <c r="N89" s="10"/>
      <c r="R89" s="2"/>
    </row>
    <row r="90" spans="1:18" ht="15">
      <c r="A90" s="273"/>
      <c r="B90" s="20">
        <f>DATE(2020,1,1)</f>
        <v>43831</v>
      </c>
      <c r="C90" s="21">
        <v>108065</v>
      </c>
      <c r="D90" s="21">
        <v>109334</v>
      </c>
      <c r="E90" s="23">
        <f t="shared" si="25"/>
        <v>-0.011606636544899117</v>
      </c>
      <c r="F90" s="21">
        <f>+C90-54017</f>
        <v>54048</v>
      </c>
      <c r="G90" s="21">
        <f>+D90-54908</f>
        <v>54426</v>
      </c>
      <c r="H90" s="23">
        <f t="shared" si="26"/>
        <v>-0.006945210009921729</v>
      </c>
      <c r="I90" s="24">
        <f t="shared" si="27"/>
        <v>46.970194882709485</v>
      </c>
      <c r="J90" s="24">
        <f t="shared" si="28"/>
        <v>93.91344934132623</v>
      </c>
      <c r="K90" s="21">
        <v>5075834.11</v>
      </c>
      <c r="L90" s="21">
        <v>4773513.88</v>
      </c>
      <c r="M90" s="25">
        <f t="shared" si="29"/>
        <v>0.06333284821201786</v>
      </c>
      <c r="N90" s="10"/>
      <c r="R90" s="2"/>
    </row>
    <row r="91" spans="1:18" ht="15">
      <c r="A91" s="273"/>
      <c r="B91" s="20">
        <f>DATE(2020,2,1)</f>
        <v>43862</v>
      </c>
      <c r="C91" s="21">
        <v>122509</v>
      </c>
      <c r="D91" s="21">
        <v>121868</v>
      </c>
      <c r="E91" s="23">
        <f t="shared" si="25"/>
        <v>0.005259789280204812</v>
      </c>
      <c r="F91" s="21">
        <f>+C91-61681</f>
        <v>60828</v>
      </c>
      <c r="G91" s="21">
        <f>+D91-59002</f>
        <v>62866</v>
      </c>
      <c r="H91" s="23">
        <f t="shared" si="26"/>
        <v>-0.03241815925937709</v>
      </c>
      <c r="I91" s="24">
        <f t="shared" si="27"/>
        <v>48.51572374274543</v>
      </c>
      <c r="J91" s="24">
        <f t="shared" si="28"/>
        <v>97.71179062273953</v>
      </c>
      <c r="K91" s="21">
        <v>5943612.8</v>
      </c>
      <c r="L91" s="21">
        <v>5088675.46</v>
      </c>
      <c r="M91" s="25">
        <f t="shared" si="29"/>
        <v>0.16800783361413263</v>
      </c>
      <c r="N91" s="10"/>
      <c r="R91" s="2"/>
    </row>
    <row r="92" spans="1:18" ht="15">
      <c r="A92" s="273"/>
      <c r="B92" s="20">
        <f>DATE(2020,3,1)</f>
        <v>43891</v>
      </c>
      <c r="C92" s="21">
        <v>63250</v>
      </c>
      <c r="D92" s="21">
        <v>142355</v>
      </c>
      <c r="E92" s="23">
        <f t="shared" si="25"/>
        <v>-0.5556882441782867</v>
      </c>
      <c r="F92" s="21">
        <f>+C92-31674</f>
        <v>31576</v>
      </c>
      <c r="G92" s="21">
        <f>+D92-71376</f>
        <v>70979</v>
      </c>
      <c r="H92" s="23">
        <f t="shared" si="26"/>
        <v>-0.5551360261485792</v>
      </c>
      <c r="I92" s="24">
        <f t="shared" si="27"/>
        <v>46.952032411067194</v>
      </c>
      <c r="J92" s="24">
        <f t="shared" si="28"/>
        <v>94.04978623004813</v>
      </c>
      <c r="K92" s="21">
        <v>2969716.05</v>
      </c>
      <c r="L92" s="21">
        <v>6181613.72</v>
      </c>
      <c r="M92" s="25">
        <f t="shared" si="29"/>
        <v>-0.5195888671607258</v>
      </c>
      <c r="N92" s="10"/>
      <c r="R92" s="2"/>
    </row>
    <row r="93" spans="1:18" ht="15">
      <c r="A93" s="273"/>
      <c r="B93" s="20">
        <f>DATE(2020,4,1)</f>
        <v>43922</v>
      </c>
      <c r="C93" s="21">
        <v>0</v>
      </c>
      <c r="D93" s="21">
        <v>114814</v>
      </c>
      <c r="E93" s="23">
        <f t="shared" si="25"/>
        <v>-1</v>
      </c>
      <c r="F93" s="21">
        <v>0</v>
      </c>
      <c r="G93" s="21">
        <f>+D93-55666</f>
        <v>59148</v>
      </c>
      <c r="H93" s="23">
        <f t="shared" si="26"/>
        <v>-1</v>
      </c>
      <c r="I93" s="24">
        <v>0</v>
      </c>
      <c r="J93" s="24">
        <v>0</v>
      </c>
      <c r="K93" s="21">
        <v>0</v>
      </c>
      <c r="L93" s="21">
        <v>5156210.48</v>
      </c>
      <c r="M93" s="25">
        <f t="shared" si="29"/>
        <v>-1</v>
      </c>
      <c r="N93" s="10"/>
      <c r="R93" s="2"/>
    </row>
    <row r="94" spans="1:18" ht="15">
      <c r="A94" s="273"/>
      <c r="B94" s="20">
        <f>DATE(2020,5,1)</f>
        <v>43952</v>
      </c>
      <c r="C94" s="21">
        <v>0</v>
      </c>
      <c r="D94" s="21">
        <v>118496</v>
      </c>
      <c r="E94" s="23">
        <f t="shared" si="25"/>
        <v>-1</v>
      </c>
      <c r="F94" s="21">
        <v>0</v>
      </c>
      <c r="G94" s="21">
        <f>+D94-57678</f>
        <v>60818</v>
      </c>
      <c r="H94" s="23">
        <f>(+F94-G94)/G94</f>
        <v>-1</v>
      </c>
      <c r="I94" s="24">
        <v>0</v>
      </c>
      <c r="J94" s="24">
        <v>0</v>
      </c>
      <c r="K94" s="21">
        <v>0</v>
      </c>
      <c r="L94" s="21">
        <v>5196419.33</v>
      </c>
      <c r="M94" s="25">
        <f t="shared" si="29"/>
        <v>-1</v>
      </c>
      <c r="N94" s="10"/>
      <c r="R94" s="2"/>
    </row>
    <row r="95" spans="1:18" ht="15">
      <c r="A95" s="273"/>
      <c r="B95" s="20">
        <v>44002</v>
      </c>
      <c r="C95" s="21">
        <v>95216</v>
      </c>
      <c r="D95" s="21">
        <v>106861</v>
      </c>
      <c r="E95" s="23">
        <f t="shared" si="25"/>
        <v>-0.10897333919764929</v>
      </c>
      <c r="F95" s="21">
        <f>+C95-46896</f>
        <v>48320</v>
      </c>
      <c r="G95" s="21">
        <f>+D95-52114</f>
        <v>54747</v>
      </c>
      <c r="H95" s="23">
        <f>(+F95-G95)/G95</f>
        <v>-0.11739456043253511</v>
      </c>
      <c r="I95" s="24">
        <f>K95/C95</f>
        <v>68.66386626197279</v>
      </c>
      <c r="J95" s="24">
        <f>K95/F95</f>
        <v>135.30419474337748</v>
      </c>
      <c r="K95" s="21">
        <v>6537898.69</v>
      </c>
      <c r="L95" s="21">
        <v>4559363.87</v>
      </c>
      <c r="M95" s="25">
        <f t="shared" si="29"/>
        <v>0.4339497518543086</v>
      </c>
      <c r="N95" s="10"/>
      <c r="R95" s="2"/>
    </row>
    <row r="96" spans="1:18" ht="15.75" customHeight="1" thickBot="1">
      <c r="A96" s="19"/>
      <c r="B96" s="20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25" customHeight="1" thickBot="1" thickTop="1">
      <c r="A97" s="39" t="s">
        <v>14</v>
      </c>
      <c r="B97" s="51"/>
      <c r="C97" s="46">
        <f>SUM(C84:C96)</f>
        <v>1056382</v>
      </c>
      <c r="D97" s="47">
        <f>SUM(D84:D96)</f>
        <v>1468254</v>
      </c>
      <c r="E97" s="279">
        <f>(+C97-D97)/D97</f>
        <v>-0.2805182209617682</v>
      </c>
      <c r="F97" s="47">
        <f>SUM(F84:F96)</f>
        <v>536136</v>
      </c>
      <c r="G97" s="46">
        <f>SUM(G84:G96)</f>
        <v>753878</v>
      </c>
      <c r="H97" s="52">
        <f>(+F97-G97)/G97</f>
        <v>-0.2888292270102059</v>
      </c>
      <c r="I97" s="50">
        <f>K97/C97</f>
        <v>48.13543974622816</v>
      </c>
      <c r="J97" s="49">
        <f>K97/F97</f>
        <v>94.844241218646</v>
      </c>
      <c r="K97" s="46">
        <f>SUM(K84:K96)</f>
        <v>50849412.10999999</v>
      </c>
      <c r="L97" s="47">
        <f>SUM(L84:L96)</f>
        <v>61845695.88</v>
      </c>
      <c r="M97" s="44">
        <f>(+K97-L97)/L97</f>
        <v>-0.17780192483137777</v>
      </c>
      <c r="N97" s="10"/>
      <c r="R97" s="2"/>
    </row>
    <row r="98" spans="1:18" ht="15.75" customHeight="1" thickTop="1">
      <c r="A98" s="19"/>
      <c r="B98" s="45"/>
      <c r="C98" s="21"/>
      <c r="D98" s="21"/>
      <c r="E98" s="23"/>
      <c r="F98" s="21"/>
      <c r="G98" s="21"/>
      <c r="H98" s="23"/>
      <c r="I98" s="24"/>
      <c r="J98" s="24"/>
      <c r="K98" s="21"/>
      <c r="L98" s="21"/>
      <c r="M98" s="25"/>
      <c r="N98" s="10"/>
      <c r="R98" s="2"/>
    </row>
    <row r="99" spans="1:18" ht="15">
      <c r="A99" s="19" t="s">
        <v>17</v>
      </c>
      <c r="B99" s="20">
        <f>DATE(2019,7,1)</f>
        <v>43647</v>
      </c>
      <c r="C99" s="21">
        <v>151411</v>
      </c>
      <c r="D99" s="21">
        <v>164240</v>
      </c>
      <c r="E99" s="23">
        <f aca="true" t="shared" si="30" ref="E99:E110">(+C99-D99)/D99</f>
        <v>-0.07811130053580127</v>
      </c>
      <c r="F99" s="21">
        <f>+C99-71749</f>
        <v>79662</v>
      </c>
      <c r="G99" s="21">
        <f>+D99-78084</f>
        <v>86156</v>
      </c>
      <c r="H99" s="23">
        <f aca="true" t="shared" si="31" ref="H99:H108">(+F99-G99)/G99</f>
        <v>-0.07537490134175218</v>
      </c>
      <c r="I99" s="24">
        <f aca="true" t="shared" si="32" ref="I99:I107">K99/C99</f>
        <v>34.63009424678524</v>
      </c>
      <c r="J99" s="24">
        <f aca="true" t="shared" si="33" ref="J99:J107">K99/F99</f>
        <v>65.82030579197108</v>
      </c>
      <c r="K99" s="21">
        <v>5243377.2</v>
      </c>
      <c r="L99" s="21">
        <v>5776329.81</v>
      </c>
      <c r="M99" s="25">
        <f aca="true" t="shared" si="34" ref="M99:M110">(+K99-L99)/L99</f>
        <v>-0.09226492037856811</v>
      </c>
      <c r="N99" s="10"/>
      <c r="R99" s="2"/>
    </row>
    <row r="100" spans="1:18" ht="15">
      <c r="A100" s="19"/>
      <c r="B100" s="20">
        <f>DATE(2019,8,1)</f>
        <v>43678</v>
      </c>
      <c r="C100" s="21">
        <v>153444</v>
      </c>
      <c r="D100" s="21">
        <v>161125</v>
      </c>
      <c r="E100" s="23">
        <f t="shared" si="30"/>
        <v>-0.047671062839410396</v>
      </c>
      <c r="F100" s="21">
        <f>+C100-72860</f>
        <v>80584</v>
      </c>
      <c r="G100" s="21">
        <f>+D100-76425</f>
        <v>84700</v>
      </c>
      <c r="H100" s="23">
        <f t="shared" si="31"/>
        <v>-0.04859504132231405</v>
      </c>
      <c r="I100" s="24">
        <f t="shared" si="32"/>
        <v>36.91110437684106</v>
      </c>
      <c r="J100" s="24">
        <f t="shared" si="33"/>
        <v>70.28426858929812</v>
      </c>
      <c r="K100" s="21">
        <v>5663787.5</v>
      </c>
      <c r="L100" s="21">
        <v>5562742.82</v>
      </c>
      <c r="M100" s="25">
        <f t="shared" si="34"/>
        <v>0.018164542792938197</v>
      </c>
      <c r="N100" s="10"/>
      <c r="R100" s="2"/>
    </row>
    <row r="101" spans="1:18" ht="15">
      <c r="A101" s="19"/>
      <c r="B101" s="20">
        <f>DATE(2019,9,1)</f>
        <v>43709</v>
      </c>
      <c r="C101" s="21">
        <v>143049</v>
      </c>
      <c r="D101" s="21">
        <v>154193</v>
      </c>
      <c r="E101" s="23">
        <f t="shared" si="30"/>
        <v>-0.0722730603853612</v>
      </c>
      <c r="F101" s="21">
        <f>+C101-67371</f>
        <v>75678</v>
      </c>
      <c r="G101" s="21">
        <f>+D101-72768</f>
        <v>81425</v>
      </c>
      <c r="H101" s="23">
        <f t="shared" si="31"/>
        <v>-0.07058028860914953</v>
      </c>
      <c r="I101" s="24">
        <f t="shared" si="32"/>
        <v>35.52142797223329</v>
      </c>
      <c r="J101" s="24">
        <f t="shared" si="33"/>
        <v>67.1437504955205</v>
      </c>
      <c r="K101" s="21">
        <v>5081304.75</v>
      </c>
      <c r="L101" s="21">
        <v>5375376.3</v>
      </c>
      <c r="M101" s="25">
        <f t="shared" si="34"/>
        <v>-0.05470715603668525</v>
      </c>
      <c r="N101" s="10"/>
      <c r="R101" s="2"/>
    </row>
    <row r="102" spans="1:18" ht="15">
      <c r="A102" s="19"/>
      <c r="B102" s="20">
        <f>DATE(2019,10,1)</f>
        <v>43739</v>
      </c>
      <c r="C102" s="21">
        <v>147133</v>
      </c>
      <c r="D102" s="21">
        <v>153175</v>
      </c>
      <c r="E102" s="23">
        <f t="shared" si="30"/>
        <v>-0.03944507915782602</v>
      </c>
      <c r="F102" s="21">
        <f>+C102-70441</f>
        <v>76692</v>
      </c>
      <c r="G102" s="21">
        <f>+D102-73639</f>
        <v>79536</v>
      </c>
      <c r="H102" s="23">
        <f t="shared" si="31"/>
        <v>-0.03575739287869644</v>
      </c>
      <c r="I102" s="24">
        <f t="shared" si="32"/>
        <v>36.7198467373057</v>
      </c>
      <c r="J102" s="24">
        <f t="shared" si="33"/>
        <v>70.44673773014135</v>
      </c>
      <c r="K102" s="21">
        <v>5402701.21</v>
      </c>
      <c r="L102" s="21">
        <v>5256338.8</v>
      </c>
      <c r="M102" s="25">
        <f t="shared" si="34"/>
        <v>0.027844934576896022</v>
      </c>
      <c r="N102" s="10"/>
      <c r="R102" s="2"/>
    </row>
    <row r="103" spans="1:18" ht="15">
      <c r="A103" s="19"/>
      <c r="B103" s="20">
        <f>DATE(2019,11,1)</f>
        <v>43770</v>
      </c>
      <c r="C103" s="21">
        <v>147609</v>
      </c>
      <c r="D103" s="21">
        <v>139109</v>
      </c>
      <c r="E103" s="23">
        <f t="shared" si="30"/>
        <v>0.06110316370615848</v>
      </c>
      <c r="F103" s="21">
        <f>+C103-72727</f>
        <v>74882</v>
      </c>
      <c r="G103" s="21">
        <f>+D103-66707</f>
        <v>72402</v>
      </c>
      <c r="H103" s="23">
        <f t="shared" si="31"/>
        <v>0.034253197425485486</v>
      </c>
      <c r="I103" s="24">
        <f t="shared" si="32"/>
        <v>36.772296133704586</v>
      </c>
      <c r="J103" s="24">
        <f t="shared" si="33"/>
        <v>72.4863366363078</v>
      </c>
      <c r="K103" s="21">
        <v>5427921.86</v>
      </c>
      <c r="L103" s="21">
        <v>5071701.48</v>
      </c>
      <c r="M103" s="25">
        <f t="shared" si="34"/>
        <v>0.07023685865675199</v>
      </c>
      <c r="N103" s="10"/>
      <c r="R103" s="2"/>
    </row>
    <row r="104" spans="1:18" ht="15">
      <c r="A104" s="19"/>
      <c r="B104" s="20">
        <f>DATE(2019,12,1)</f>
        <v>43800</v>
      </c>
      <c r="C104" s="21">
        <v>146815</v>
      </c>
      <c r="D104" s="21">
        <v>159746</v>
      </c>
      <c r="E104" s="23">
        <f t="shared" si="30"/>
        <v>-0.0809472537653525</v>
      </c>
      <c r="F104" s="21">
        <f>+C104-72079</f>
        <v>74736</v>
      </c>
      <c r="G104" s="21">
        <f>+D104-79467</f>
        <v>80279</v>
      </c>
      <c r="H104" s="23">
        <f t="shared" si="31"/>
        <v>-0.06904669963502286</v>
      </c>
      <c r="I104" s="24">
        <f t="shared" si="32"/>
        <v>36.822510165854986</v>
      </c>
      <c r="J104" s="24">
        <f t="shared" si="33"/>
        <v>72.33591348212374</v>
      </c>
      <c r="K104" s="21">
        <v>5406096.83</v>
      </c>
      <c r="L104" s="21">
        <v>5582453.12</v>
      </c>
      <c r="M104" s="25">
        <f t="shared" si="34"/>
        <v>-0.03159118154851608</v>
      </c>
      <c r="N104" s="10"/>
      <c r="R104" s="2"/>
    </row>
    <row r="105" spans="1:18" ht="15">
      <c r="A105" s="19"/>
      <c r="B105" s="20">
        <f>DATE(2020,1,1)</f>
        <v>43831</v>
      </c>
      <c r="C105" s="21">
        <v>138036</v>
      </c>
      <c r="D105" s="21">
        <v>139301</v>
      </c>
      <c r="E105" s="23">
        <f t="shared" si="30"/>
        <v>-0.009081054694510449</v>
      </c>
      <c r="F105" s="21">
        <f>+C105-67428</f>
        <v>70608</v>
      </c>
      <c r="G105" s="21">
        <f>+D105-68038</f>
        <v>71263</v>
      </c>
      <c r="H105" s="23">
        <f t="shared" si="31"/>
        <v>-0.009191305446023883</v>
      </c>
      <c r="I105" s="24">
        <f t="shared" si="32"/>
        <v>37.59920622156539</v>
      </c>
      <c r="J105" s="24">
        <f t="shared" si="33"/>
        <v>73.50504234647633</v>
      </c>
      <c r="K105" s="21">
        <v>5190044.03</v>
      </c>
      <c r="L105" s="21">
        <v>4785445.81</v>
      </c>
      <c r="M105" s="25">
        <f t="shared" si="34"/>
        <v>0.08454765471474447</v>
      </c>
      <c r="N105" s="10"/>
      <c r="R105" s="2"/>
    </row>
    <row r="106" spans="1:18" ht="15">
      <c r="A106" s="19"/>
      <c r="B106" s="20">
        <f>DATE(2020,2,1)</f>
        <v>43862</v>
      </c>
      <c r="C106" s="21">
        <v>152132</v>
      </c>
      <c r="D106" s="21">
        <v>141977</v>
      </c>
      <c r="E106" s="23">
        <f t="shared" si="30"/>
        <v>0.07152566965071808</v>
      </c>
      <c r="F106" s="21">
        <f>+C106-75603</f>
        <v>76529</v>
      </c>
      <c r="G106" s="21">
        <f>+D106-71543</f>
        <v>70434</v>
      </c>
      <c r="H106" s="23">
        <f t="shared" si="31"/>
        <v>0.08653491211630747</v>
      </c>
      <c r="I106" s="24">
        <f t="shared" si="32"/>
        <v>38.1959242631399</v>
      </c>
      <c r="J106" s="24">
        <f t="shared" si="33"/>
        <v>75.92967829188935</v>
      </c>
      <c r="K106" s="21">
        <v>5810822.35</v>
      </c>
      <c r="L106" s="21">
        <v>5198998.77</v>
      </c>
      <c r="M106" s="25">
        <f t="shared" si="34"/>
        <v>0.11768103957447178</v>
      </c>
      <c r="N106" s="10"/>
      <c r="R106" s="2"/>
    </row>
    <row r="107" spans="1:18" ht="15">
      <c r="A107" s="19"/>
      <c r="B107" s="20">
        <f>DATE(2020,3,1)</f>
        <v>43891</v>
      </c>
      <c r="C107" s="21">
        <v>83823</v>
      </c>
      <c r="D107" s="21">
        <v>174861</v>
      </c>
      <c r="E107" s="23">
        <f t="shared" si="30"/>
        <v>-0.5206306723626195</v>
      </c>
      <c r="F107" s="21">
        <f>+C107-41284</f>
        <v>42539</v>
      </c>
      <c r="G107" s="21">
        <f>+D107-87444</f>
        <v>87417</v>
      </c>
      <c r="H107" s="23">
        <f t="shared" si="31"/>
        <v>-0.5133784046581329</v>
      </c>
      <c r="I107" s="24">
        <f t="shared" si="32"/>
        <v>39.885277907018356</v>
      </c>
      <c r="J107" s="24">
        <f t="shared" si="33"/>
        <v>78.59384682291544</v>
      </c>
      <c r="K107" s="21">
        <v>3343303.65</v>
      </c>
      <c r="L107" s="21">
        <v>6580899.26</v>
      </c>
      <c r="M107" s="25">
        <f t="shared" si="34"/>
        <v>-0.4919685717845193</v>
      </c>
      <c r="N107" s="10"/>
      <c r="R107" s="2"/>
    </row>
    <row r="108" spans="1:18" ht="15">
      <c r="A108" s="19"/>
      <c r="B108" s="20">
        <f>DATE(2020,4,1)</f>
        <v>43922</v>
      </c>
      <c r="C108" s="21">
        <v>0</v>
      </c>
      <c r="D108" s="21">
        <v>151446</v>
      </c>
      <c r="E108" s="23">
        <f t="shared" si="30"/>
        <v>-1</v>
      </c>
      <c r="F108" s="21">
        <v>0</v>
      </c>
      <c r="G108" s="21">
        <f>+D108-72754</f>
        <v>78692</v>
      </c>
      <c r="H108" s="23">
        <f t="shared" si="31"/>
        <v>-1</v>
      </c>
      <c r="I108" s="24">
        <v>0</v>
      </c>
      <c r="J108" s="24">
        <v>0</v>
      </c>
      <c r="K108" s="21">
        <v>0</v>
      </c>
      <c r="L108" s="21">
        <v>5692032.84</v>
      </c>
      <c r="M108" s="25">
        <f t="shared" si="34"/>
        <v>-1</v>
      </c>
      <c r="N108" s="10"/>
      <c r="R108" s="2"/>
    </row>
    <row r="109" spans="1:18" ht="15">
      <c r="A109" s="19"/>
      <c r="B109" s="20">
        <f>DATE(2020,5,1)</f>
        <v>43952</v>
      </c>
      <c r="C109" s="21">
        <v>0</v>
      </c>
      <c r="D109" s="21">
        <v>161474</v>
      </c>
      <c r="E109" s="23">
        <f t="shared" si="30"/>
        <v>-1</v>
      </c>
      <c r="F109" s="21">
        <v>0</v>
      </c>
      <c r="G109" s="21">
        <f>+D109-76948</f>
        <v>84526</v>
      </c>
      <c r="H109" s="23">
        <f>(+F109-G109)/G109</f>
        <v>-1</v>
      </c>
      <c r="I109" s="24">
        <v>0</v>
      </c>
      <c r="J109" s="24">
        <v>0</v>
      </c>
      <c r="K109" s="21">
        <v>0</v>
      </c>
      <c r="L109" s="21">
        <v>6075543.03</v>
      </c>
      <c r="M109" s="25">
        <f t="shared" si="34"/>
        <v>-1</v>
      </c>
      <c r="N109" s="10"/>
      <c r="R109" s="2"/>
    </row>
    <row r="110" spans="1:18" ht="15">
      <c r="A110" s="19"/>
      <c r="B110" s="20">
        <v>44002</v>
      </c>
      <c r="C110" s="21">
        <v>77119</v>
      </c>
      <c r="D110" s="21">
        <v>151812</v>
      </c>
      <c r="E110" s="23">
        <f t="shared" si="30"/>
        <v>-0.4920098542934682</v>
      </c>
      <c r="F110" s="21">
        <f>+C110-36414</f>
        <v>40705</v>
      </c>
      <c r="G110" s="21">
        <f>+D110-73318</f>
        <v>78494</v>
      </c>
      <c r="H110" s="23">
        <f>(+F110-G110)/G110</f>
        <v>-0.4814253318724998</v>
      </c>
      <c r="I110" s="24">
        <f>K110/C110</f>
        <v>55.854324485535344</v>
      </c>
      <c r="J110" s="24">
        <f>K110/F110</f>
        <v>105.82065225402286</v>
      </c>
      <c r="K110" s="21">
        <v>4307429.65</v>
      </c>
      <c r="L110" s="21">
        <v>5487769.91</v>
      </c>
      <c r="M110" s="25">
        <f t="shared" si="34"/>
        <v>-0.21508559567141178</v>
      </c>
      <c r="N110" s="10"/>
      <c r="R110" s="2"/>
    </row>
    <row r="111" spans="1:18" ht="15.75" customHeight="1" thickBot="1">
      <c r="A111" s="19"/>
      <c r="B111" s="45"/>
      <c r="C111" s="21"/>
      <c r="D111" s="21"/>
      <c r="E111" s="23"/>
      <c r="F111" s="21"/>
      <c r="G111" s="21"/>
      <c r="H111" s="23"/>
      <c r="I111" s="24"/>
      <c r="J111" s="24"/>
      <c r="K111" s="21"/>
      <c r="L111" s="21"/>
      <c r="M111" s="25"/>
      <c r="N111" s="10"/>
      <c r="R111" s="2"/>
    </row>
    <row r="112" spans="1:18" ht="17.25" customHeight="1" thickBot="1" thickTop="1">
      <c r="A112" s="39" t="s">
        <v>14</v>
      </c>
      <c r="B112" s="51"/>
      <c r="C112" s="46">
        <f>SUM(C99:C111)</f>
        <v>1340571</v>
      </c>
      <c r="D112" s="47">
        <f>SUM(D99:D111)</f>
        <v>1852459</v>
      </c>
      <c r="E112" s="279">
        <f>(+C112-D112)/D112</f>
        <v>-0.276328922799371</v>
      </c>
      <c r="F112" s="47">
        <f>SUM(F99:F111)</f>
        <v>692615</v>
      </c>
      <c r="G112" s="46">
        <f>SUM(G99:G111)</f>
        <v>955324</v>
      </c>
      <c r="H112" s="52">
        <f>(+F112-G112)/G112</f>
        <v>-0.2749946614970418</v>
      </c>
      <c r="I112" s="50">
        <f>K112/C112</f>
        <v>37.951581102381</v>
      </c>
      <c r="J112" s="49">
        <f>K112/F112</f>
        <v>73.45608892386102</v>
      </c>
      <c r="K112" s="46">
        <f>SUM(K99:K111)</f>
        <v>50876789.03</v>
      </c>
      <c r="L112" s="47">
        <f>SUM(L99:L111)</f>
        <v>66445631.94999999</v>
      </c>
      <c r="M112" s="44">
        <f>(+K112-L112)/L112</f>
        <v>-0.23430950181519028</v>
      </c>
      <c r="N112" s="10"/>
      <c r="R112" s="2"/>
    </row>
    <row r="113" spans="1:18" ht="15.75" customHeight="1" thickTop="1">
      <c r="A113" s="19"/>
      <c r="B113" s="45"/>
      <c r="C113" s="21"/>
      <c r="D113" s="21"/>
      <c r="E113" s="23"/>
      <c r="F113" s="21"/>
      <c r="G113" s="21"/>
      <c r="H113" s="23"/>
      <c r="I113" s="24"/>
      <c r="J113" s="24"/>
      <c r="K113" s="21"/>
      <c r="L113" s="21"/>
      <c r="M113" s="25"/>
      <c r="N113" s="10"/>
      <c r="R113" s="2"/>
    </row>
    <row r="114" spans="1:18" ht="15.75" customHeight="1">
      <c r="A114" s="19" t="s">
        <v>67</v>
      </c>
      <c r="B114" s="20">
        <f>DATE(2019,7,1)</f>
        <v>43647</v>
      </c>
      <c r="C114" s="21">
        <v>323721</v>
      </c>
      <c r="D114" s="21">
        <v>388346</v>
      </c>
      <c r="E114" s="23">
        <f aca="true" t="shared" si="35" ref="E114:E125">(+C114-D114)/D114</f>
        <v>-0.1664108810184732</v>
      </c>
      <c r="F114" s="21">
        <f>+C114-139052</f>
        <v>184669</v>
      </c>
      <c r="G114" s="21">
        <f>+D114-165497</f>
        <v>222849</v>
      </c>
      <c r="H114" s="23">
        <f aca="true" t="shared" si="36" ref="H114:H123">(+F114-G114)/G114</f>
        <v>-0.17132677283721265</v>
      </c>
      <c r="I114" s="24">
        <f aca="true" t="shared" si="37" ref="I114:I122">K114/C114</f>
        <v>38.80653328020116</v>
      </c>
      <c r="J114" s="24">
        <f aca="true" t="shared" si="38" ref="J114:J122">K114/F114</f>
        <v>68.0270633403549</v>
      </c>
      <c r="K114" s="21">
        <v>12562489.76</v>
      </c>
      <c r="L114" s="21">
        <v>13426296.74</v>
      </c>
      <c r="M114" s="25">
        <f aca="true" t="shared" si="39" ref="M114:M125">(+K114-L114)/L114</f>
        <v>-0.06433694984757207</v>
      </c>
      <c r="N114" s="10"/>
      <c r="R114" s="2"/>
    </row>
    <row r="115" spans="1:18" ht="15.75" customHeight="1">
      <c r="A115" s="19"/>
      <c r="B115" s="20">
        <f>DATE(2019,8,1)</f>
        <v>43678</v>
      </c>
      <c r="C115" s="21">
        <v>324702</v>
      </c>
      <c r="D115" s="21">
        <v>374981</v>
      </c>
      <c r="E115" s="23">
        <f t="shared" si="35"/>
        <v>-0.13408412692909774</v>
      </c>
      <c r="F115" s="21">
        <f>+C115-140464</f>
        <v>184238</v>
      </c>
      <c r="G115" s="21">
        <f>+D115-161656</f>
        <v>213325</v>
      </c>
      <c r="H115" s="23">
        <f t="shared" si="36"/>
        <v>-0.1363506386968241</v>
      </c>
      <c r="I115" s="24">
        <f t="shared" si="37"/>
        <v>39.7735203663667</v>
      </c>
      <c r="J115" s="24">
        <f t="shared" si="38"/>
        <v>70.09705712176641</v>
      </c>
      <c r="K115" s="21">
        <v>12914541.61</v>
      </c>
      <c r="L115" s="21">
        <v>14006614.06</v>
      </c>
      <c r="M115" s="25">
        <f t="shared" si="39"/>
        <v>-0.07796834019427541</v>
      </c>
      <c r="N115" s="10"/>
      <c r="R115" s="2"/>
    </row>
    <row r="116" spans="1:18" ht="15.75" customHeight="1">
      <c r="A116" s="19"/>
      <c r="B116" s="20">
        <f>DATE(2019,9,1)</f>
        <v>43709</v>
      </c>
      <c r="C116" s="21">
        <v>300781</v>
      </c>
      <c r="D116" s="21">
        <v>360336</v>
      </c>
      <c r="E116" s="23">
        <f t="shared" si="35"/>
        <v>-0.165276297677723</v>
      </c>
      <c r="F116" s="21">
        <f>+C116-129541</f>
        <v>171240</v>
      </c>
      <c r="G116" s="21">
        <f>+D116-155587</f>
        <v>204749</v>
      </c>
      <c r="H116" s="23">
        <f t="shared" si="36"/>
        <v>-0.16365891896907922</v>
      </c>
      <c r="I116" s="24">
        <f t="shared" si="37"/>
        <v>40.86120167164814</v>
      </c>
      <c r="J116" s="24">
        <f t="shared" si="38"/>
        <v>71.7722091800981</v>
      </c>
      <c r="K116" s="21">
        <v>12290273.1</v>
      </c>
      <c r="L116" s="21">
        <v>13292569.29</v>
      </c>
      <c r="M116" s="25">
        <f t="shared" si="39"/>
        <v>-0.07540274330215657</v>
      </c>
      <c r="N116" s="10"/>
      <c r="R116" s="2"/>
    </row>
    <row r="117" spans="1:18" ht="15.75" customHeight="1">
      <c r="A117" s="19"/>
      <c r="B117" s="20">
        <f>DATE(2019,10,1)</f>
        <v>43739</v>
      </c>
      <c r="C117" s="21">
        <v>283539</v>
      </c>
      <c r="D117" s="21">
        <v>333769</v>
      </c>
      <c r="E117" s="23">
        <f t="shared" si="35"/>
        <v>-0.1504933052500382</v>
      </c>
      <c r="F117" s="21">
        <f>+C117-124663</f>
        <v>158876</v>
      </c>
      <c r="G117" s="21">
        <f>+D117-146853</f>
        <v>186916</v>
      </c>
      <c r="H117" s="23">
        <f t="shared" si="36"/>
        <v>-0.150013909991654</v>
      </c>
      <c r="I117" s="24">
        <f t="shared" si="37"/>
        <v>41.99395871467417</v>
      </c>
      <c r="J117" s="24">
        <f t="shared" si="38"/>
        <v>74.94476862458774</v>
      </c>
      <c r="K117" s="21">
        <v>11906925.06</v>
      </c>
      <c r="L117" s="21">
        <v>13297492.66</v>
      </c>
      <c r="M117" s="25">
        <f t="shared" si="39"/>
        <v>-0.10457366930405958</v>
      </c>
      <c r="N117" s="10"/>
      <c r="R117" s="2"/>
    </row>
    <row r="118" spans="1:18" ht="15.75" customHeight="1">
      <c r="A118" s="19"/>
      <c r="B118" s="20">
        <f>DATE(2019,11,1)</f>
        <v>43770</v>
      </c>
      <c r="C118" s="21">
        <v>291021</v>
      </c>
      <c r="D118" s="21">
        <v>328789</v>
      </c>
      <c r="E118" s="23">
        <f t="shared" si="35"/>
        <v>-0.11487002302388462</v>
      </c>
      <c r="F118" s="21">
        <f>+C118-133617</f>
        <v>157404</v>
      </c>
      <c r="G118" s="21">
        <f>+D118-148027</f>
        <v>180762</v>
      </c>
      <c r="H118" s="23">
        <f t="shared" si="36"/>
        <v>-0.12921963687058122</v>
      </c>
      <c r="I118" s="24">
        <f t="shared" si="37"/>
        <v>41.60786317825861</v>
      </c>
      <c r="J118" s="24">
        <f t="shared" si="38"/>
        <v>76.92791765139386</v>
      </c>
      <c r="K118" s="21">
        <v>12108761.95</v>
      </c>
      <c r="L118" s="21">
        <v>12818002.74</v>
      </c>
      <c r="M118" s="25">
        <f t="shared" si="39"/>
        <v>-0.055331614791026405</v>
      </c>
      <c r="N118" s="10"/>
      <c r="R118" s="2"/>
    </row>
    <row r="119" spans="1:18" ht="15.75" customHeight="1">
      <c r="A119" s="19"/>
      <c r="B119" s="20">
        <f>DATE(2019,12,1)</f>
        <v>43800</v>
      </c>
      <c r="C119" s="21">
        <v>314814</v>
      </c>
      <c r="D119" s="21">
        <v>359368</v>
      </c>
      <c r="E119" s="23">
        <f t="shared" si="35"/>
        <v>-0.12397876271676944</v>
      </c>
      <c r="F119" s="21">
        <f>+C119-147218</f>
        <v>167596</v>
      </c>
      <c r="G119" s="21">
        <f>+D119-161628</f>
        <v>197740</v>
      </c>
      <c r="H119" s="23">
        <f t="shared" si="36"/>
        <v>-0.15244260139577223</v>
      </c>
      <c r="I119" s="24">
        <f t="shared" si="37"/>
        <v>40.43947861276817</v>
      </c>
      <c r="J119" s="24">
        <f t="shared" si="38"/>
        <v>75.9619204515621</v>
      </c>
      <c r="K119" s="21">
        <v>12730914.02</v>
      </c>
      <c r="L119" s="21">
        <v>13957615.71</v>
      </c>
      <c r="M119" s="25">
        <f t="shared" si="39"/>
        <v>-0.08788762461206931</v>
      </c>
      <c r="N119" s="10"/>
      <c r="R119" s="2"/>
    </row>
    <row r="120" spans="1:18" ht="15.75" customHeight="1">
      <c r="A120" s="19"/>
      <c r="B120" s="20">
        <f>DATE(2020,1,1)</f>
        <v>43831</v>
      </c>
      <c r="C120" s="21">
        <v>285267</v>
      </c>
      <c r="D120" s="21">
        <v>297438</v>
      </c>
      <c r="E120" s="23">
        <f t="shared" si="35"/>
        <v>-0.040919452121114315</v>
      </c>
      <c r="F120" s="21">
        <f>+C120-129272</f>
        <v>155995</v>
      </c>
      <c r="G120" s="21">
        <f>+D120-131100</f>
        <v>166338</v>
      </c>
      <c r="H120" s="23">
        <f t="shared" si="36"/>
        <v>-0.06218062018300088</v>
      </c>
      <c r="I120" s="24">
        <f t="shared" si="37"/>
        <v>43.931008143248256</v>
      </c>
      <c r="J120" s="24">
        <f t="shared" si="38"/>
        <v>80.33633706208532</v>
      </c>
      <c r="K120" s="21">
        <v>12532066.9</v>
      </c>
      <c r="L120" s="21">
        <v>12493875.96</v>
      </c>
      <c r="M120" s="25">
        <f t="shared" si="39"/>
        <v>0.003056772783903921</v>
      </c>
      <c r="N120" s="10"/>
      <c r="R120" s="2"/>
    </row>
    <row r="121" spans="1:18" ht="15.75" customHeight="1">
      <c r="A121" s="19"/>
      <c r="B121" s="20">
        <f>DATE(2020,2,1)</f>
        <v>43862</v>
      </c>
      <c r="C121" s="21">
        <v>302605</v>
      </c>
      <c r="D121" s="21">
        <v>298566</v>
      </c>
      <c r="E121" s="23">
        <f t="shared" si="35"/>
        <v>0.013527997159756971</v>
      </c>
      <c r="F121" s="21">
        <f>+C121-136090</f>
        <v>166515</v>
      </c>
      <c r="G121" s="21">
        <f>+D121-133131</f>
        <v>165435</v>
      </c>
      <c r="H121" s="23">
        <f t="shared" si="36"/>
        <v>0.0065282437210989214</v>
      </c>
      <c r="I121" s="24">
        <f t="shared" si="37"/>
        <v>46.67344921597462</v>
      </c>
      <c r="J121" s="24">
        <f t="shared" si="38"/>
        <v>84.81889979881691</v>
      </c>
      <c r="K121" s="21">
        <v>14123619.1</v>
      </c>
      <c r="L121" s="21">
        <v>12250357.04</v>
      </c>
      <c r="M121" s="25">
        <f t="shared" si="39"/>
        <v>0.15291489496048197</v>
      </c>
      <c r="N121" s="10"/>
      <c r="R121" s="2"/>
    </row>
    <row r="122" spans="1:18" ht="15.75" customHeight="1">
      <c r="A122" s="19"/>
      <c r="B122" s="20">
        <f>DATE(2020,3,1)</f>
        <v>43891</v>
      </c>
      <c r="C122" s="21">
        <v>159571</v>
      </c>
      <c r="D122" s="21">
        <v>375418</v>
      </c>
      <c r="E122" s="23">
        <f t="shared" si="35"/>
        <v>-0.5749511211502911</v>
      </c>
      <c r="F122" s="21">
        <f>+C122-71512</f>
        <v>88059</v>
      </c>
      <c r="G122" s="21">
        <f>+D122-165906</f>
        <v>209512</v>
      </c>
      <c r="H122" s="23">
        <f t="shared" si="36"/>
        <v>-0.579694719156898</v>
      </c>
      <c r="I122" s="24">
        <f t="shared" si="37"/>
        <v>45.567387620557625</v>
      </c>
      <c r="J122" s="24">
        <f t="shared" si="38"/>
        <v>82.5722936894582</v>
      </c>
      <c r="K122" s="21">
        <v>7271233.61</v>
      </c>
      <c r="L122" s="21">
        <v>15846578.48</v>
      </c>
      <c r="M122" s="25">
        <f t="shared" si="39"/>
        <v>-0.5411480390434416</v>
      </c>
      <c r="N122" s="10"/>
      <c r="R122" s="2"/>
    </row>
    <row r="123" spans="1:18" ht="15.75" customHeight="1">
      <c r="A123" s="19"/>
      <c r="B123" s="20">
        <f>DATE(2020,4,1)</f>
        <v>43922</v>
      </c>
      <c r="C123" s="21">
        <v>0</v>
      </c>
      <c r="D123" s="21">
        <v>316138</v>
      </c>
      <c r="E123" s="23">
        <f t="shared" si="35"/>
        <v>-1</v>
      </c>
      <c r="F123" s="21">
        <v>0</v>
      </c>
      <c r="G123" s="21">
        <f>+D123-140817</f>
        <v>175321</v>
      </c>
      <c r="H123" s="23">
        <f t="shared" si="36"/>
        <v>-1</v>
      </c>
      <c r="I123" s="24">
        <v>0</v>
      </c>
      <c r="J123" s="24">
        <v>0</v>
      </c>
      <c r="K123" s="21">
        <v>0</v>
      </c>
      <c r="L123" s="21">
        <v>12876485.44</v>
      </c>
      <c r="M123" s="25">
        <f t="shared" si="39"/>
        <v>-1</v>
      </c>
      <c r="N123" s="10"/>
      <c r="R123" s="2"/>
    </row>
    <row r="124" spans="1:18" ht="15.75" customHeight="1">
      <c r="A124" s="19"/>
      <c r="B124" s="20">
        <f>DATE(2020,5,1)</f>
        <v>43952</v>
      </c>
      <c r="C124" s="21">
        <v>0</v>
      </c>
      <c r="D124" s="21">
        <v>338028</v>
      </c>
      <c r="E124" s="23">
        <f t="shared" si="35"/>
        <v>-1</v>
      </c>
      <c r="F124" s="21">
        <v>0</v>
      </c>
      <c r="G124" s="21">
        <f>+D124-147226</f>
        <v>190802</v>
      </c>
      <c r="H124" s="23">
        <f>(+F124-G124)/G124</f>
        <v>-1</v>
      </c>
      <c r="I124" s="24">
        <v>0</v>
      </c>
      <c r="J124" s="24">
        <v>0</v>
      </c>
      <c r="K124" s="21">
        <v>0</v>
      </c>
      <c r="L124" s="21">
        <v>14279932.02</v>
      </c>
      <c r="M124" s="25">
        <f t="shared" si="39"/>
        <v>-1</v>
      </c>
      <c r="N124" s="10"/>
      <c r="R124" s="2"/>
    </row>
    <row r="125" spans="1:18" ht="15.75" customHeight="1">
      <c r="A125" s="19"/>
      <c r="B125" s="20">
        <v>44002</v>
      </c>
      <c r="C125" s="21">
        <v>193861</v>
      </c>
      <c r="D125" s="21">
        <v>334449</v>
      </c>
      <c r="E125" s="23">
        <f t="shared" si="35"/>
        <v>-0.4203570649037671</v>
      </c>
      <c r="F125" s="21">
        <f>+C125-95007</f>
        <v>98854</v>
      </c>
      <c r="G125" s="21">
        <f>+D125-142965</f>
        <v>191484</v>
      </c>
      <c r="H125" s="23">
        <f>(+F125-G125)/G125</f>
        <v>-0.48374798938814734</v>
      </c>
      <c r="I125" s="24">
        <f>K125/C125</f>
        <v>66.95819133296537</v>
      </c>
      <c r="J125" s="24">
        <f>K125/F125</f>
        <v>131.3106392255245</v>
      </c>
      <c r="K125" s="21">
        <v>12980581.93</v>
      </c>
      <c r="L125" s="21">
        <v>13568361.66</v>
      </c>
      <c r="M125" s="25">
        <f t="shared" si="39"/>
        <v>-0.043319874921435464</v>
      </c>
      <c r="N125" s="10"/>
      <c r="R125" s="2"/>
    </row>
    <row r="126" spans="1:18" ht="15.75" customHeight="1" thickBot="1">
      <c r="A126" s="19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6.5" thickBot="1" thickTop="1">
      <c r="A127" s="39" t="s">
        <v>14</v>
      </c>
      <c r="B127" s="40"/>
      <c r="C127" s="41">
        <f>SUM(C114:C126)</f>
        <v>2779882</v>
      </c>
      <c r="D127" s="41">
        <f>SUM(D114:D126)</f>
        <v>4105626</v>
      </c>
      <c r="E127" s="278">
        <f>(+C127-D127)/D127</f>
        <v>-0.32290910082896007</v>
      </c>
      <c r="F127" s="41">
        <f>SUM(F114:F126)</f>
        <v>1533446</v>
      </c>
      <c r="G127" s="41">
        <f>SUM(G114:G126)</f>
        <v>2305233</v>
      </c>
      <c r="H127" s="42">
        <f>(+F127-G127)/G127</f>
        <v>-0.33479782737797004</v>
      </c>
      <c r="I127" s="43">
        <f>K127/C127</f>
        <v>43.67861910685417</v>
      </c>
      <c r="J127" s="43">
        <f>K127/F127</f>
        <v>79.18205599675501</v>
      </c>
      <c r="K127" s="41">
        <f>SUM(K114:K126)</f>
        <v>121421407.03999999</v>
      </c>
      <c r="L127" s="41">
        <f>SUM(L114:L126)</f>
        <v>162114181.8</v>
      </c>
      <c r="M127" s="44">
        <f>(+K127-L127)/L127</f>
        <v>-0.25101304715094347</v>
      </c>
      <c r="N127" s="10"/>
      <c r="R127" s="2"/>
    </row>
    <row r="128" spans="1:18" ht="15.75" customHeight="1" thickTop="1">
      <c r="A128" s="53"/>
      <c r="B128" s="54"/>
      <c r="C128" s="54"/>
      <c r="D128" s="54"/>
      <c r="E128" s="55"/>
      <c r="F128" s="54"/>
      <c r="G128" s="54"/>
      <c r="H128" s="55"/>
      <c r="I128" s="54"/>
      <c r="J128" s="54"/>
      <c r="K128" s="195"/>
      <c r="L128" s="195"/>
      <c r="M128" s="56"/>
      <c r="N128" s="10"/>
      <c r="R128" s="2"/>
    </row>
    <row r="129" spans="1:18" ht="15.75" customHeight="1">
      <c r="A129" s="19" t="s">
        <v>18</v>
      </c>
      <c r="B129" s="20">
        <f>DATE(2019,7,1)</f>
        <v>43647</v>
      </c>
      <c r="C129" s="21">
        <v>366609</v>
      </c>
      <c r="D129" s="21">
        <v>413730</v>
      </c>
      <c r="E129" s="23">
        <f aca="true" t="shared" si="40" ref="E129:E140">(+C129-D129)/D129</f>
        <v>-0.11389311870060184</v>
      </c>
      <c r="F129" s="21">
        <f>+C129-178251</f>
        <v>188358</v>
      </c>
      <c r="G129" s="21">
        <f>+D129-202461</f>
        <v>211269</v>
      </c>
      <c r="H129" s="23">
        <f aca="true" t="shared" si="41" ref="H129:H138">(+F129-G129)/G129</f>
        <v>-0.10844468426508386</v>
      </c>
      <c r="I129" s="24">
        <f aca="true" t="shared" si="42" ref="I129:I137">K129/C129</f>
        <v>42.795938015706106</v>
      </c>
      <c r="J129" s="24">
        <f aca="true" t="shared" si="43" ref="J129:J137">K129/F129</f>
        <v>83.29551195064717</v>
      </c>
      <c r="K129" s="21">
        <v>15689376.04</v>
      </c>
      <c r="L129" s="21">
        <v>17628524.71</v>
      </c>
      <c r="M129" s="25">
        <f aca="true" t="shared" si="44" ref="M129:M140">(+K129-L129)/L129</f>
        <v>-0.11000062126015545</v>
      </c>
      <c r="N129" s="10"/>
      <c r="R129" s="2"/>
    </row>
    <row r="130" spans="1:18" ht="15.75" customHeight="1">
      <c r="A130" s="19"/>
      <c r="B130" s="20">
        <f>DATE(2019,8,1)</f>
        <v>43678</v>
      </c>
      <c r="C130" s="21">
        <v>384874</v>
      </c>
      <c r="D130" s="21">
        <v>405657</v>
      </c>
      <c r="E130" s="23">
        <f t="shared" si="40"/>
        <v>-0.05123293817190385</v>
      </c>
      <c r="F130" s="21">
        <f>+C130-186167</f>
        <v>198707</v>
      </c>
      <c r="G130" s="21">
        <f>+D130-195459</f>
        <v>210198</v>
      </c>
      <c r="H130" s="23">
        <f t="shared" si="41"/>
        <v>-0.054667503972445027</v>
      </c>
      <c r="I130" s="24">
        <f t="shared" si="42"/>
        <v>43.12458695573096</v>
      </c>
      <c r="J130" s="24">
        <f t="shared" si="43"/>
        <v>83.52766777214693</v>
      </c>
      <c r="K130" s="21">
        <v>16597532.28</v>
      </c>
      <c r="L130" s="21">
        <v>17799458.53</v>
      </c>
      <c r="M130" s="25">
        <f t="shared" si="44"/>
        <v>-0.06752600074739475</v>
      </c>
      <c r="N130" s="10"/>
      <c r="R130" s="2"/>
    </row>
    <row r="131" spans="1:18" ht="15.75" customHeight="1">
      <c r="A131" s="19"/>
      <c r="B131" s="20">
        <f>DATE(2019,9,1)</f>
        <v>43709</v>
      </c>
      <c r="C131" s="21">
        <v>348168</v>
      </c>
      <c r="D131" s="21">
        <v>386512</v>
      </c>
      <c r="E131" s="23">
        <f t="shared" si="40"/>
        <v>-0.09920519932110776</v>
      </c>
      <c r="F131" s="21">
        <f>+C131-163347</f>
        <v>184821</v>
      </c>
      <c r="G131" s="21">
        <f>+D131-188889</f>
        <v>197623</v>
      </c>
      <c r="H131" s="23">
        <f t="shared" si="41"/>
        <v>-0.06477990922109268</v>
      </c>
      <c r="I131" s="24">
        <f t="shared" si="42"/>
        <v>44.421932601502725</v>
      </c>
      <c r="J131" s="24">
        <f t="shared" si="43"/>
        <v>83.68256545522424</v>
      </c>
      <c r="K131" s="21">
        <v>15466295.43</v>
      </c>
      <c r="L131" s="21">
        <v>16599689.7</v>
      </c>
      <c r="M131" s="25">
        <f t="shared" si="44"/>
        <v>-0.06827803955877558</v>
      </c>
      <c r="N131" s="10"/>
      <c r="R131" s="2"/>
    </row>
    <row r="132" spans="1:18" ht="15.75" customHeight="1">
      <c r="A132" s="19"/>
      <c r="B132" s="20">
        <f>DATE(2019,10,1)</f>
        <v>43739</v>
      </c>
      <c r="C132" s="21">
        <v>347400</v>
      </c>
      <c r="D132" s="21">
        <v>353857</v>
      </c>
      <c r="E132" s="23">
        <f t="shared" si="40"/>
        <v>-0.01824748415320313</v>
      </c>
      <c r="F132" s="21">
        <f>+C132-164019</f>
        <v>183381</v>
      </c>
      <c r="G132" s="21">
        <f>+D132-169336</f>
        <v>184521</v>
      </c>
      <c r="H132" s="23">
        <f t="shared" si="41"/>
        <v>-0.006178158583575853</v>
      </c>
      <c r="I132" s="24">
        <f t="shared" si="42"/>
        <v>47.03465071963155</v>
      </c>
      <c r="J132" s="24">
        <f t="shared" si="43"/>
        <v>89.10322039905988</v>
      </c>
      <c r="K132" s="21">
        <v>16339837.66</v>
      </c>
      <c r="L132" s="21">
        <v>15074320.55</v>
      </c>
      <c r="M132" s="25">
        <f t="shared" si="44"/>
        <v>0.08395185081824463</v>
      </c>
      <c r="N132" s="10"/>
      <c r="R132" s="2"/>
    </row>
    <row r="133" spans="1:18" ht="15.75" customHeight="1">
      <c r="A133" s="19"/>
      <c r="B133" s="20">
        <f>DATE(2019,11,1)</f>
        <v>43770</v>
      </c>
      <c r="C133" s="21">
        <v>367906</v>
      </c>
      <c r="D133" s="21">
        <v>343012</v>
      </c>
      <c r="E133" s="23">
        <f t="shared" si="40"/>
        <v>0.07257472041794456</v>
      </c>
      <c r="F133" s="21">
        <f>+C133-173004</f>
        <v>194902</v>
      </c>
      <c r="G133" s="21">
        <f>+D133-162356</f>
        <v>180656</v>
      </c>
      <c r="H133" s="23">
        <f t="shared" si="41"/>
        <v>0.07885705429102825</v>
      </c>
      <c r="I133" s="24">
        <f t="shared" si="42"/>
        <v>45.06514517295179</v>
      </c>
      <c r="J133" s="24">
        <f t="shared" si="43"/>
        <v>85.06704548952807</v>
      </c>
      <c r="K133" s="21">
        <v>16579737.3</v>
      </c>
      <c r="L133" s="21">
        <v>14816733.57</v>
      </c>
      <c r="M133" s="25">
        <f t="shared" si="44"/>
        <v>0.118987341013516</v>
      </c>
      <c r="N133" s="10"/>
      <c r="R133" s="2"/>
    </row>
    <row r="134" spans="1:18" ht="15.75" customHeight="1">
      <c r="A134" s="19"/>
      <c r="B134" s="20">
        <f>DATE(2019,12,1)</f>
        <v>43800</v>
      </c>
      <c r="C134" s="21">
        <v>375779</v>
      </c>
      <c r="D134" s="21">
        <v>404087</v>
      </c>
      <c r="E134" s="23">
        <f t="shared" si="40"/>
        <v>-0.07005422099696353</v>
      </c>
      <c r="F134" s="21">
        <f>+C134-181369</f>
        <v>194410</v>
      </c>
      <c r="G134" s="21">
        <f>+D134-195394</f>
        <v>208693</v>
      </c>
      <c r="H134" s="23">
        <f t="shared" si="41"/>
        <v>-0.06844024476144385</v>
      </c>
      <c r="I134" s="24">
        <f t="shared" si="42"/>
        <v>41.740704376774644</v>
      </c>
      <c r="J134" s="24">
        <f t="shared" si="43"/>
        <v>80.68144719921816</v>
      </c>
      <c r="K134" s="21">
        <v>15685280.15</v>
      </c>
      <c r="L134" s="21">
        <v>16895167.06</v>
      </c>
      <c r="M134" s="25">
        <f t="shared" si="44"/>
        <v>-0.07161142033714808</v>
      </c>
      <c r="N134" s="10"/>
      <c r="R134" s="2"/>
    </row>
    <row r="135" spans="1:18" ht="15.75" customHeight="1">
      <c r="A135" s="19"/>
      <c r="B135" s="20">
        <f>DATE(2020,1,1)</f>
        <v>43831</v>
      </c>
      <c r="C135" s="21">
        <v>330613</v>
      </c>
      <c r="D135" s="21">
        <v>340841</v>
      </c>
      <c r="E135" s="23">
        <f t="shared" si="40"/>
        <v>-0.030008126956557458</v>
      </c>
      <c r="F135" s="21">
        <f>+C135-158076</f>
        <v>172537</v>
      </c>
      <c r="G135" s="21">
        <f>+D135-167445</f>
        <v>173396</v>
      </c>
      <c r="H135" s="23">
        <f t="shared" si="41"/>
        <v>-0.00495397817712058</v>
      </c>
      <c r="I135" s="24">
        <f t="shared" si="42"/>
        <v>45.56652155238905</v>
      </c>
      <c r="J135" s="24">
        <f t="shared" si="43"/>
        <v>87.31393492410324</v>
      </c>
      <c r="K135" s="21">
        <v>15064884.39</v>
      </c>
      <c r="L135" s="21">
        <v>14098180.86</v>
      </c>
      <c r="M135" s="25">
        <f t="shared" si="44"/>
        <v>0.06856938065979679</v>
      </c>
      <c r="N135" s="10"/>
      <c r="R135" s="2"/>
    </row>
    <row r="136" spans="1:18" ht="15.75" customHeight="1">
      <c r="A136" s="19"/>
      <c r="B136" s="20">
        <f>DATE(2020,2,1)</f>
        <v>43862</v>
      </c>
      <c r="C136" s="21">
        <v>374709</v>
      </c>
      <c r="D136" s="21">
        <v>343444</v>
      </c>
      <c r="E136" s="23">
        <f t="shared" si="40"/>
        <v>0.09103376387416871</v>
      </c>
      <c r="F136" s="21">
        <f>+C136-179401</f>
        <v>195308</v>
      </c>
      <c r="G136" s="21">
        <f>+D136-166468</f>
        <v>176976</v>
      </c>
      <c r="H136" s="23">
        <f t="shared" si="41"/>
        <v>0.10358466684748215</v>
      </c>
      <c r="I136" s="24">
        <f t="shared" si="42"/>
        <v>45.55394623561217</v>
      </c>
      <c r="J136" s="24">
        <f t="shared" si="43"/>
        <v>87.3977186802384</v>
      </c>
      <c r="K136" s="21">
        <v>17069473.64</v>
      </c>
      <c r="L136" s="21">
        <v>14934409.32</v>
      </c>
      <c r="M136" s="25">
        <f t="shared" si="44"/>
        <v>0.14296275629333027</v>
      </c>
      <c r="N136" s="10"/>
      <c r="R136" s="2"/>
    </row>
    <row r="137" spans="1:18" ht="15.75" customHeight="1">
      <c r="A137" s="19"/>
      <c r="B137" s="20">
        <f>DATE(2020,3,1)</f>
        <v>43891</v>
      </c>
      <c r="C137" s="21">
        <v>181197</v>
      </c>
      <c r="D137" s="21">
        <v>433827</v>
      </c>
      <c r="E137" s="23">
        <f t="shared" si="40"/>
        <v>-0.5823289006908283</v>
      </c>
      <c r="F137" s="21">
        <f>+C137-86940</f>
        <v>94257</v>
      </c>
      <c r="G137" s="21">
        <f>+D137-215065</f>
        <v>218762</v>
      </c>
      <c r="H137" s="23">
        <f t="shared" si="41"/>
        <v>-0.5691344931935163</v>
      </c>
      <c r="I137" s="24">
        <f t="shared" si="42"/>
        <v>47.22670005574043</v>
      </c>
      <c r="J137" s="24">
        <f t="shared" si="43"/>
        <v>90.78727701921342</v>
      </c>
      <c r="K137" s="21">
        <v>8557336.37</v>
      </c>
      <c r="L137" s="21">
        <v>18667713.7</v>
      </c>
      <c r="M137" s="25">
        <f t="shared" si="44"/>
        <v>-0.5415969782094955</v>
      </c>
      <c r="N137" s="10"/>
      <c r="R137" s="2"/>
    </row>
    <row r="138" spans="1:18" ht="15.75" customHeight="1">
      <c r="A138" s="19"/>
      <c r="B138" s="20">
        <f>DATE(2020,4,1)</f>
        <v>43922</v>
      </c>
      <c r="C138" s="21">
        <v>0</v>
      </c>
      <c r="D138" s="21">
        <v>348018</v>
      </c>
      <c r="E138" s="23">
        <f t="shared" si="40"/>
        <v>-1</v>
      </c>
      <c r="F138" s="21">
        <v>0</v>
      </c>
      <c r="G138" s="21">
        <f>+D138-170199</f>
        <v>177819</v>
      </c>
      <c r="H138" s="23">
        <f t="shared" si="41"/>
        <v>-1</v>
      </c>
      <c r="I138" s="24">
        <v>0</v>
      </c>
      <c r="J138" s="24">
        <v>0</v>
      </c>
      <c r="K138" s="21">
        <v>0</v>
      </c>
      <c r="L138" s="21">
        <v>15882602.35</v>
      </c>
      <c r="M138" s="25">
        <f t="shared" si="44"/>
        <v>-1</v>
      </c>
      <c r="N138" s="10"/>
      <c r="R138" s="2"/>
    </row>
    <row r="139" spans="1:18" ht="15.75" customHeight="1">
      <c r="A139" s="19"/>
      <c r="B139" s="20">
        <f>DATE(2020,5,1)</f>
        <v>43952</v>
      </c>
      <c r="C139" s="21">
        <v>0</v>
      </c>
      <c r="D139" s="21">
        <v>370304</v>
      </c>
      <c r="E139" s="23">
        <f t="shared" si="40"/>
        <v>-1</v>
      </c>
      <c r="F139" s="21">
        <v>0</v>
      </c>
      <c r="G139" s="21">
        <f>+D139-180250</f>
        <v>190054</v>
      </c>
      <c r="H139" s="23">
        <f>(+F139-G139)/G139</f>
        <v>-1</v>
      </c>
      <c r="I139" s="24">
        <v>0</v>
      </c>
      <c r="J139" s="24">
        <v>0</v>
      </c>
      <c r="K139" s="21">
        <v>0</v>
      </c>
      <c r="L139" s="21">
        <v>16915442.96</v>
      </c>
      <c r="M139" s="25">
        <f t="shared" si="44"/>
        <v>-1</v>
      </c>
      <c r="N139" s="10"/>
      <c r="R139" s="2"/>
    </row>
    <row r="140" spans="1:18" ht="15.75" customHeight="1">
      <c r="A140" s="19"/>
      <c r="B140" s="284">
        <v>44002</v>
      </c>
      <c r="C140" s="21">
        <v>182139</v>
      </c>
      <c r="D140" s="21">
        <v>358381</v>
      </c>
      <c r="E140" s="23">
        <f t="shared" si="40"/>
        <v>-0.4917727223262394</v>
      </c>
      <c r="F140" s="21">
        <f>+C140-87898</f>
        <v>94241</v>
      </c>
      <c r="G140" s="21">
        <f>+D140-171005</f>
        <v>187376</v>
      </c>
      <c r="H140" s="23">
        <f>(+F140-G140)/G140</f>
        <v>-0.49704871488344293</v>
      </c>
      <c r="I140" s="24">
        <f>K140/C140</f>
        <v>66.61872048270827</v>
      </c>
      <c r="J140" s="24">
        <f>K140/F140</f>
        <v>128.753590581594</v>
      </c>
      <c r="K140" s="21">
        <v>12133867.13</v>
      </c>
      <c r="L140" s="21">
        <v>15799231.41</v>
      </c>
      <c r="M140" s="25">
        <f t="shared" si="44"/>
        <v>-0.23199636646122138</v>
      </c>
      <c r="N140" s="10"/>
      <c r="R140" s="2"/>
    </row>
    <row r="141" spans="1:18" ht="15.75" customHeight="1" thickBot="1">
      <c r="A141" s="19"/>
      <c r="B141" s="45"/>
      <c r="C141" s="21"/>
      <c r="D141" s="21"/>
      <c r="E141" s="23"/>
      <c r="F141" s="21"/>
      <c r="G141" s="21"/>
      <c r="H141" s="23"/>
      <c r="I141" s="24"/>
      <c r="J141" s="24"/>
      <c r="K141" s="21"/>
      <c r="L141" s="21"/>
      <c r="M141" s="25"/>
      <c r="N141" s="10"/>
      <c r="R141" s="2"/>
    </row>
    <row r="142" spans="1:18" ht="16.5" thickBot="1" thickTop="1">
      <c r="A142" s="39" t="s">
        <v>14</v>
      </c>
      <c r="B142" s="40"/>
      <c r="C142" s="41">
        <f>SUM(C129:C141)</f>
        <v>3259394</v>
      </c>
      <c r="D142" s="41">
        <f>SUM(D129:D141)</f>
        <v>4501670</v>
      </c>
      <c r="E142" s="278">
        <f>(+C142-D142)/D142</f>
        <v>-0.27595892191120186</v>
      </c>
      <c r="F142" s="41">
        <f>SUM(F129:F141)</f>
        <v>1700922</v>
      </c>
      <c r="G142" s="41">
        <f>SUM(G129:G141)</f>
        <v>2317343</v>
      </c>
      <c r="H142" s="42">
        <f>(+F142-G142)/G142</f>
        <v>-0.2660033495257284</v>
      </c>
      <c r="I142" s="43">
        <f>K142/C142</f>
        <v>45.77035497702947</v>
      </c>
      <c r="J142" s="43">
        <f>K142/F142</f>
        <v>87.70750239575946</v>
      </c>
      <c r="K142" s="41">
        <f>SUM(K129:K141)</f>
        <v>149183620.39</v>
      </c>
      <c r="L142" s="41">
        <f>SUM(L129:L141)</f>
        <v>195111474.72</v>
      </c>
      <c r="M142" s="44">
        <f>(+K142-L142)/L142</f>
        <v>-0.23539289217054007</v>
      </c>
      <c r="N142" s="10"/>
      <c r="R142" s="2"/>
    </row>
    <row r="143" spans="1:18" ht="15.75" customHeight="1" thickTop="1">
      <c r="A143" s="53"/>
      <c r="B143" s="54"/>
      <c r="C143" s="54"/>
      <c r="D143" s="54"/>
      <c r="E143" s="55"/>
      <c r="F143" s="54"/>
      <c r="G143" s="54"/>
      <c r="H143" s="55"/>
      <c r="I143" s="54"/>
      <c r="J143" s="54"/>
      <c r="K143" s="195"/>
      <c r="L143" s="195"/>
      <c r="M143" s="56"/>
      <c r="N143" s="10"/>
      <c r="R143" s="2"/>
    </row>
    <row r="144" spans="1:18" ht="15.75" customHeight="1">
      <c r="A144" s="19" t="s">
        <v>58</v>
      </c>
      <c r="B144" s="20">
        <f>DATE(2019,7,1)</f>
        <v>43647</v>
      </c>
      <c r="C144" s="21">
        <v>420442</v>
      </c>
      <c r="D144" s="21">
        <v>437171</v>
      </c>
      <c r="E144" s="23">
        <f aca="true" t="shared" si="45" ref="E144:E155">(+C144-D144)/D144</f>
        <v>-0.038266490686710695</v>
      </c>
      <c r="F144" s="21">
        <f>+C144-190554</f>
        <v>229888</v>
      </c>
      <c r="G144" s="21">
        <f>+D144-202695</f>
        <v>234476</v>
      </c>
      <c r="H144" s="23">
        <f aca="true" t="shared" si="46" ref="H144:H153">(+F144-G144)/G144</f>
        <v>-0.01956703457923199</v>
      </c>
      <c r="I144" s="24">
        <f aca="true" t="shared" si="47" ref="I144:I152">K144/C144</f>
        <v>43.35257134158814</v>
      </c>
      <c r="J144" s="24">
        <f aca="true" t="shared" si="48" ref="J144:J152">K144/F144</f>
        <v>79.28748695016704</v>
      </c>
      <c r="K144" s="21">
        <v>18227241.8</v>
      </c>
      <c r="L144" s="21">
        <v>19587162.53</v>
      </c>
      <c r="M144" s="25">
        <f aca="true" t="shared" si="49" ref="M144:M155">(+K144-L144)/L144</f>
        <v>-0.06942918495300812</v>
      </c>
      <c r="N144" s="10"/>
      <c r="R144" s="2"/>
    </row>
    <row r="145" spans="1:18" ht="15.75" customHeight="1">
      <c r="A145" s="19"/>
      <c r="B145" s="20">
        <f>DATE(2019,8,1)</f>
        <v>43678</v>
      </c>
      <c r="C145" s="21">
        <v>440157</v>
      </c>
      <c r="D145" s="21">
        <v>428435</v>
      </c>
      <c r="E145" s="23">
        <f t="shared" si="45"/>
        <v>0.027360042947004795</v>
      </c>
      <c r="F145" s="21">
        <f>+C145-199137</f>
        <v>241020</v>
      </c>
      <c r="G145" s="21">
        <f>+D145-198491</f>
        <v>229944</v>
      </c>
      <c r="H145" s="23">
        <f t="shared" si="46"/>
        <v>0.04816824966078698</v>
      </c>
      <c r="I145" s="24">
        <f t="shared" si="47"/>
        <v>44.34990310275652</v>
      </c>
      <c r="J145" s="24">
        <f t="shared" si="48"/>
        <v>80.99294788814207</v>
      </c>
      <c r="K145" s="21">
        <v>19520920.3</v>
      </c>
      <c r="L145" s="21">
        <v>19072987.46</v>
      </c>
      <c r="M145" s="25">
        <f t="shared" si="49"/>
        <v>0.023485195538423525</v>
      </c>
      <c r="N145" s="10"/>
      <c r="R145" s="2"/>
    </row>
    <row r="146" spans="1:18" ht="15.75" customHeight="1">
      <c r="A146" s="19"/>
      <c r="B146" s="20">
        <f>DATE(2019,9,1)</f>
        <v>43709</v>
      </c>
      <c r="C146" s="21">
        <v>423584</v>
      </c>
      <c r="D146" s="21">
        <v>430488</v>
      </c>
      <c r="E146" s="23">
        <f t="shared" si="45"/>
        <v>-0.016037613127427477</v>
      </c>
      <c r="F146" s="21">
        <f>+C146-190859</f>
        <v>232725</v>
      </c>
      <c r="G146" s="21">
        <f>+D146-198602</f>
        <v>231886</v>
      </c>
      <c r="H146" s="23">
        <f t="shared" si="46"/>
        <v>0.0036181571979334672</v>
      </c>
      <c r="I146" s="24">
        <f t="shared" si="47"/>
        <v>43.580134117435975</v>
      </c>
      <c r="J146" s="24">
        <f t="shared" si="48"/>
        <v>79.3204319690622</v>
      </c>
      <c r="K146" s="21">
        <v>18459847.53</v>
      </c>
      <c r="L146" s="21">
        <v>18193233.45</v>
      </c>
      <c r="M146" s="25">
        <f t="shared" si="49"/>
        <v>0.014654573676126931</v>
      </c>
      <c r="N146" s="10"/>
      <c r="R146" s="2"/>
    </row>
    <row r="147" spans="1:18" ht="15.75" customHeight="1">
      <c r="A147" s="19"/>
      <c r="B147" s="20">
        <f>DATE(2019,10,1)</f>
        <v>43739</v>
      </c>
      <c r="C147" s="21">
        <v>422309</v>
      </c>
      <c r="D147" s="21">
        <v>407351</v>
      </c>
      <c r="E147" s="23">
        <f t="shared" si="45"/>
        <v>0.03672017498422736</v>
      </c>
      <c r="F147" s="21">
        <f>+C147-185957</f>
        <v>236352</v>
      </c>
      <c r="G147" s="21">
        <f>+D147-184649</f>
        <v>222702</v>
      </c>
      <c r="H147" s="23">
        <f t="shared" si="46"/>
        <v>0.061292669127354045</v>
      </c>
      <c r="I147" s="24">
        <f t="shared" si="47"/>
        <v>44.095064253899395</v>
      </c>
      <c r="J147" s="24">
        <f t="shared" si="48"/>
        <v>78.78817395240996</v>
      </c>
      <c r="K147" s="21">
        <v>18621742.49</v>
      </c>
      <c r="L147" s="21">
        <v>16758743.75</v>
      </c>
      <c r="M147" s="25">
        <f t="shared" si="49"/>
        <v>0.11116577517929996</v>
      </c>
      <c r="N147" s="10"/>
      <c r="R147" s="2"/>
    </row>
    <row r="148" spans="1:18" ht="15.75" customHeight="1">
      <c r="A148" s="19"/>
      <c r="B148" s="20">
        <f>DATE(2019,11,1)</f>
        <v>43770</v>
      </c>
      <c r="C148" s="21">
        <v>434843</v>
      </c>
      <c r="D148" s="21">
        <v>411941</v>
      </c>
      <c r="E148" s="23">
        <f t="shared" si="45"/>
        <v>0.0555953401093846</v>
      </c>
      <c r="F148" s="21">
        <f>+C148-195427</f>
        <v>239416</v>
      </c>
      <c r="G148" s="21">
        <f>+D148-188303</f>
        <v>223638</v>
      </c>
      <c r="H148" s="23">
        <f t="shared" si="46"/>
        <v>0.0705515162897182</v>
      </c>
      <c r="I148" s="24">
        <f t="shared" si="47"/>
        <v>45.42008759483308</v>
      </c>
      <c r="J148" s="24">
        <f t="shared" si="48"/>
        <v>82.49493413138637</v>
      </c>
      <c r="K148" s="21">
        <v>19750607.15</v>
      </c>
      <c r="L148" s="21">
        <v>19508179.46</v>
      </c>
      <c r="M148" s="25">
        <f t="shared" si="49"/>
        <v>0.012426976617529928</v>
      </c>
      <c r="N148" s="10"/>
      <c r="R148" s="2"/>
    </row>
    <row r="149" spans="1:18" ht="15.75" customHeight="1">
      <c r="A149" s="19"/>
      <c r="B149" s="20">
        <f>DATE(2019,12,1)</f>
        <v>43800</v>
      </c>
      <c r="C149" s="21">
        <v>424920</v>
      </c>
      <c r="D149" s="21">
        <v>472920</v>
      </c>
      <c r="E149" s="23">
        <f t="shared" si="45"/>
        <v>-0.10149708195889368</v>
      </c>
      <c r="F149" s="21">
        <f>+C149-195550</f>
        <v>229370</v>
      </c>
      <c r="G149" s="21">
        <f>+D149-218118</f>
        <v>254802</v>
      </c>
      <c r="H149" s="23">
        <f t="shared" si="46"/>
        <v>-0.09981083350994105</v>
      </c>
      <c r="I149" s="24">
        <f t="shared" si="47"/>
        <v>46.924102066271296</v>
      </c>
      <c r="J149" s="24">
        <f t="shared" si="48"/>
        <v>86.92936935955007</v>
      </c>
      <c r="K149" s="21">
        <v>19938989.45</v>
      </c>
      <c r="L149" s="21">
        <v>20559094.58</v>
      </c>
      <c r="M149" s="25">
        <f t="shared" si="49"/>
        <v>-0.03016208362615544</v>
      </c>
      <c r="N149" s="10"/>
      <c r="R149" s="2"/>
    </row>
    <row r="150" spans="1:18" ht="15.75" customHeight="1">
      <c r="A150" s="19"/>
      <c r="B150" s="20">
        <f>DATE(2020,1,1)</f>
        <v>43831</v>
      </c>
      <c r="C150" s="21">
        <v>412724</v>
      </c>
      <c r="D150" s="21">
        <v>350517</v>
      </c>
      <c r="E150" s="23">
        <f t="shared" si="45"/>
        <v>0.17747213401917739</v>
      </c>
      <c r="F150" s="21">
        <f>+C150-198460</f>
        <v>214264</v>
      </c>
      <c r="G150" s="21">
        <f>+D150-164493</f>
        <v>186024</v>
      </c>
      <c r="H150" s="23">
        <f t="shared" si="46"/>
        <v>0.15180836881262633</v>
      </c>
      <c r="I150" s="24">
        <f t="shared" si="47"/>
        <v>45.89301092255357</v>
      </c>
      <c r="J150" s="24">
        <f t="shared" si="48"/>
        <v>88.40097748571854</v>
      </c>
      <c r="K150" s="21">
        <v>18941147.04</v>
      </c>
      <c r="L150" s="21">
        <v>16080175.63</v>
      </c>
      <c r="M150" s="25">
        <f t="shared" si="49"/>
        <v>0.177919164307038</v>
      </c>
      <c r="N150" s="10"/>
      <c r="R150" s="2"/>
    </row>
    <row r="151" spans="1:18" ht="15.75" customHeight="1">
      <c r="A151" s="19"/>
      <c r="B151" s="20">
        <f>DATE(2020,2,1)</f>
        <v>43862</v>
      </c>
      <c r="C151" s="21">
        <v>435690</v>
      </c>
      <c r="D151" s="21">
        <v>392165</v>
      </c>
      <c r="E151" s="23">
        <f t="shared" si="45"/>
        <v>0.11098644703122411</v>
      </c>
      <c r="F151" s="21">
        <f>+C151-192836</f>
        <v>242854</v>
      </c>
      <c r="G151" s="21">
        <f>+D151-179856</f>
        <v>212309</v>
      </c>
      <c r="H151" s="23">
        <f t="shared" si="46"/>
        <v>0.14387049065277496</v>
      </c>
      <c r="I151" s="24">
        <f t="shared" si="47"/>
        <v>43.198524134132064</v>
      </c>
      <c r="J151" s="24">
        <f t="shared" si="48"/>
        <v>77.49991756363906</v>
      </c>
      <c r="K151" s="21">
        <v>18821164.98</v>
      </c>
      <c r="L151" s="21">
        <v>17454098.28</v>
      </c>
      <c r="M151" s="25">
        <f t="shared" si="49"/>
        <v>0.07832353628754743</v>
      </c>
      <c r="N151" s="10"/>
      <c r="R151" s="2"/>
    </row>
    <row r="152" spans="1:18" ht="15.75" customHeight="1">
      <c r="A152" s="19"/>
      <c r="B152" s="20">
        <f>DATE(2020,3,1)</f>
        <v>43891</v>
      </c>
      <c r="C152" s="21">
        <v>197840</v>
      </c>
      <c r="D152" s="21">
        <v>469468</v>
      </c>
      <c r="E152" s="23">
        <f t="shared" si="45"/>
        <v>-0.5785868259391481</v>
      </c>
      <c r="F152" s="21">
        <f>+C152-89524</f>
        <v>108316</v>
      </c>
      <c r="G152" s="21">
        <f>+D152-217582</f>
        <v>251886</v>
      </c>
      <c r="H152" s="23">
        <f t="shared" si="46"/>
        <v>-0.569980070349285</v>
      </c>
      <c r="I152" s="24">
        <f t="shared" si="47"/>
        <v>48.768392488879904</v>
      </c>
      <c r="J152" s="24">
        <f t="shared" si="48"/>
        <v>89.07584078067875</v>
      </c>
      <c r="K152" s="21">
        <v>9648338.77</v>
      </c>
      <c r="L152" s="21">
        <v>20849230.38</v>
      </c>
      <c r="M152" s="25">
        <f t="shared" si="49"/>
        <v>-0.5372328573214221</v>
      </c>
      <c r="N152" s="10"/>
      <c r="R152" s="2"/>
    </row>
    <row r="153" spans="1:18" ht="15.75" customHeight="1">
      <c r="A153" s="19"/>
      <c r="B153" s="20">
        <f>DATE(2020,4,1)</f>
        <v>43922</v>
      </c>
      <c r="C153" s="21">
        <v>0</v>
      </c>
      <c r="D153" s="21">
        <v>370086</v>
      </c>
      <c r="E153" s="23">
        <f t="shared" si="45"/>
        <v>-1</v>
      </c>
      <c r="F153" s="21">
        <v>0</v>
      </c>
      <c r="G153" s="21">
        <f>+D153-169064</f>
        <v>201022</v>
      </c>
      <c r="H153" s="23">
        <f t="shared" si="46"/>
        <v>-1</v>
      </c>
      <c r="I153" s="24">
        <v>0</v>
      </c>
      <c r="J153" s="24">
        <v>0</v>
      </c>
      <c r="K153" s="21">
        <v>0</v>
      </c>
      <c r="L153" s="21">
        <v>17680467.77</v>
      </c>
      <c r="M153" s="25">
        <f t="shared" si="49"/>
        <v>-1</v>
      </c>
      <c r="N153" s="10"/>
      <c r="R153" s="2"/>
    </row>
    <row r="154" spans="1:18" ht="15.75" customHeight="1">
      <c r="A154" s="19"/>
      <c r="B154" s="20">
        <f>DATE(2020,5,1)</f>
        <v>43952</v>
      </c>
      <c r="C154" s="21">
        <v>0</v>
      </c>
      <c r="D154" s="21">
        <v>407646</v>
      </c>
      <c r="E154" s="23">
        <f t="shared" si="45"/>
        <v>-1</v>
      </c>
      <c r="F154" s="21">
        <v>0</v>
      </c>
      <c r="G154" s="21">
        <f>+D154-184734</f>
        <v>222912</v>
      </c>
      <c r="H154" s="23">
        <f>(+F154-G154)/G154</f>
        <v>-1</v>
      </c>
      <c r="I154" s="24">
        <v>0</v>
      </c>
      <c r="J154" s="24">
        <v>0</v>
      </c>
      <c r="K154" s="21">
        <v>0</v>
      </c>
      <c r="L154" s="21">
        <v>17894349.95</v>
      </c>
      <c r="M154" s="25">
        <f t="shared" si="49"/>
        <v>-1</v>
      </c>
      <c r="N154" s="10"/>
      <c r="R154" s="2"/>
    </row>
    <row r="155" spans="1:18" ht="15.75" customHeight="1">
      <c r="A155" s="19"/>
      <c r="B155" s="20">
        <v>44002</v>
      </c>
      <c r="C155" s="21">
        <v>117080</v>
      </c>
      <c r="D155" s="21">
        <v>369950</v>
      </c>
      <c r="E155" s="23">
        <f t="shared" si="45"/>
        <v>-0.6835248006487363</v>
      </c>
      <c r="F155" s="21">
        <f>+C155-58534</f>
        <v>58546</v>
      </c>
      <c r="G155" s="21">
        <f>+D155-171363</f>
        <v>198587</v>
      </c>
      <c r="H155" s="23">
        <f>(+F155-G155)/G155</f>
        <v>-0.7051871471949323</v>
      </c>
      <c r="I155" s="24">
        <f>K155/C155</f>
        <v>68.72810932695593</v>
      </c>
      <c r="J155" s="24">
        <f>K155/F155</f>
        <v>137.44213165715848</v>
      </c>
      <c r="K155" s="21">
        <v>8046687.04</v>
      </c>
      <c r="L155" s="21">
        <v>16698230.57</v>
      </c>
      <c r="M155" s="25">
        <f t="shared" si="49"/>
        <v>-0.5181113947212672</v>
      </c>
      <c r="N155" s="10"/>
      <c r="R155" s="2"/>
    </row>
    <row r="156" spans="1:18" ht="15.75" customHeight="1" thickBot="1">
      <c r="A156" s="19"/>
      <c r="B156" s="45"/>
      <c r="C156" s="21"/>
      <c r="D156" s="21"/>
      <c r="E156" s="23"/>
      <c r="F156" s="21"/>
      <c r="G156" s="21"/>
      <c r="H156" s="23"/>
      <c r="I156" s="24"/>
      <c r="J156" s="24"/>
      <c r="K156" s="21"/>
      <c r="L156" s="21"/>
      <c r="M156" s="25"/>
      <c r="N156" s="10"/>
      <c r="R156" s="2"/>
    </row>
    <row r="157" spans="1:18" ht="16.5" thickBot="1" thickTop="1">
      <c r="A157" s="39" t="s">
        <v>14</v>
      </c>
      <c r="B157" s="40"/>
      <c r="C157" s="41">
        <f>SUM(C144:C156)</f>
        <v>3729589</v>
      </c>
      <c r="D157" s="41">
        <f>SUM(D144:D156)</f>
        <v>4948138</v>
      </c>
      <c r="E157" s="278">
        <f>(+C157-D157)/D157</f>
        <v>-0.24626415027228424</v>
      </c>
      <c r="F157" s="41">
        <f>SUM(F144:F156)</f>
        <v>2032751</v>
      </c>
      <c r="G157" s="41">
        <f>SUM(G144:G156)</f>
        <v>2670188</v>
      </c>
      <c r="H157" s="42">
        <f>(+F157-G157)/G157</f>
        <v>-0.23872364043280847</v>
      </c>
      <c r="I157" s="43">
        <f>K157/C157</f>
        <v>45.57517907469161</v>
      </c>
      <c r="J157" s="43">
        <f>K157/F157</f>
        <v>83.61903969054745</v>
      </c>
      <c r="K157" s="41">
        <f>SUM(K144:K156)</f>
        <v>169976686.55</v>
      </c>
      <c r="L157" s="41">
        <f>SUM(L144:L156)</f>
        <v>220335953.80999997</v>
      </c>
      <c r="M157" s="44">
        <f>(+K157-L157)/L157</f>
        <v>-0.22855673978394714</v>
      </c>
      <c r="N157" s="10"/>
      <c r="R157" s="2"/>
    </row>
    <row r="158" spans="1:18" ht="15.75" customHeight="1" thickTop="1">
      <c r="A158" s="57"/>
      <c r="B158" s="58"/>
      <c r="C158" s="58"/>
      <c r="D158" s="58"/>
      <c r="E158" s="59"/>
      <c r="F158" s="58"/>
      <c r="G158" s="58"/>
      <c r="H158" s="59"/>
      <c r="I158" s="58"/>
      <c r="J158" s="58"/>
      <c r="K158" s="196"/>
      <c r="L158" s="196"/>
      <c r="M158" s="60"/>
      <c r="N158" s="10"/>
      <c r="R158" s="2"/>
    </row>
    <row r="159" spans="1:18" ht="15" customHeight="1">
      <c r="A159" s="19" t="s">
        <v>59</v>
      </c>
      <c r="B159" s="20">
        <f>DATE(2019,7,1)</f>
        <v>43647</v>
      </c>
      <c r="C159" s="21">
        <v>61327</v>
      </c>
      <c r="D159" s="21">
        <v>63934</v>
      </c>
      <c r="E159" s="23">
        <f aca="true" t="shared" si="50" ref="E159:E170">(+C159-D159)/D159</f>
        <v>-0.04077642568899177</v>
      </c>
      <c r="F159" s="21">
        <f>+C159-29380</f>
        <v>31947</v>
      </c>
      <c r="G159" s="21">
        <f>+D159-30110</f>
        <v>33824</v>
      </c>
      <c r="H159" s="23">
        <f aca="true" t="shared" si="51" ref="H159:H168">(+F159-G159)/G159</f>
        <v>-0.05549314096499527</v>
      </c>
      <c r="I159" s="24">
        <f aca="true" t="shared" si="52" ref="I159:I167">K159/C159</f>
        <v>44.82402432859915</v>
      </c>
      <c r="J159" s="24">
        <f aca="true" t="shared" si="53" ref="J159:J167">K159/F159</f>
        <v>86.04635615237737</v>
      </c>
      <c r="K159" s="21">
        <v>2748922.94</v>
      </c>
      <c r="L159" s="21">
        <v>2819787.79</v>
      </c>
      <c r="M159" s="25">
        <f aca="true" t="shared" si="54" ref="M159:M170">(+K159-L159)/L159</f>
        <v>-0.025131270605296185</v>
      </c>
      <c r="N159" s="10"/>
      <c r="R159" s="2"/>
    </row>
    <row r="160" spans="1:18" ht="15" customHeight="1">
      <c r="A160" s="19"/>
      <c r="B160" s="20">
        <f>DATE(2019,8,1)</f>
        <v>43678</v>
      </c>
      <c r="C160" s="21">
        <v>62887</v>
      </c>
      <c r="D160" s="21">
        <v>61004</v>
      </c>
      <c r="E160" s="23">
        <f t="shared" si="50"/>
        <v>0.030866828404694773</v>
      </c>
      <c r="F160" s="21">
        <f>+C160-30695</f>
        <v>32192</v>
      </c>
      <c r="G160" s="21">
        <f>+D160-29259</f>
        <v>31745</v>
      </c>
      <c r="H160" s="23">
        <f t="shared" si="51"/>
        <v>0.014080957631123011</v>
      </c>
      <c r="I160" s="24">
        <f t="shared" si="52"/>
        <v>47.076432649037166</v>
      </c>
      <c r="J160" s="24">
        <f t="shared" si="53"/>
        <v>91.96370588966204</v>
      </c>
      <c r="K160" s="21">
        <v>2960495.62</v>
      </c>
      <c r="L160" s="21">
        <v>2779592.61</v>
      </c>
      <c r="M160" s="25">
        <f t="shared" si="54"/>
        <v>0.06508256258459409</v>
      </c>
      <c r="N160" s="10"/>
      <c r="R160" s="2"/>
    </row>
    <row r="161" spans="1:18" ht="15" customHeight="1">
      <c r="A161" s="19"/>
      <c r="B161" s="20">
        <f>DATE(2019,9,1)</f>
        <v>43709</v>
      </c>
      <c r="C161" s="21">
        <v>59108</v>
      </c>
      <c r="D161" s="21">
        <v>57391</v>
      </c>
      <c r="E161" s="23">
        <f t="shared" si="50"/>
        <v>0.029917582896272936</v>
      </c>
      <c r="F161" s="21">
        <f>+C161-28508</f>
        <v>30600</v>
      </c>
      <c r="G161" s="21">
        <f>+D161-27760</f>
        <v>29631</v>
      </c>
      <c r="H161" s="23">
        <f t="shared" si="51"/>
        <v>0.03270223752151463</v>
      </c>
      <c r="I161" s="24">
        <f t="shared" si="52"/>
        <v>45.64173242200717</v>
      </c>
      <c r="J161" s="24">
        <f t="shared" si="53"/>
        <v>88.16312156862745</v>
      </c>
      <c r="K161" s="21">
        <v>2697791.52</v>
      </c>
      <c r="L161" s="21">
        <v>2617109.27</v>
      </c>
      <c r="M161" s="25">
        <f t="shared" si="54"/>
        <v>0.03082876627463094</v>
      </c>
      <c r="N161" s="10"/>
      <c r="R161" s="2"/>
    </row>
    <row r="162" spans="1:18" ht="15" customHeight="1">
      <c r="A162" s="19"/>
      <c r="B162" s="20">
        <f>DATE(2019,10,1)</f>
        <v>43739</v>
      </c>
      <c r="C162" s="21">
        <v>56197</v>
      </c>
      <c r="D162" s="21">
        <v>54970</v>
      </c>
      <c r="E162" s="23">
        <f t="shared" si="50"/>
        <v>0.022321266145170094</v>
      </c>
      <c r="F162" s="21">
        <f>+C162-27661</f>
        <v>28536</v>
      </c>
      <c r="G162" s="21">
        <f>+D162-26236</f>
        <v>28734</v>
      </c>
      <c r="H162" s="23">
        <f t="shared" si="51"/>
        <v>-0.006890791396951347</v>
      </c>
      <c r="I162" s="24">
        <f t="shared" si="52"/>
        <v>50.092445860099296</v>
      </c>
      <c r="J162" s="24">
        <f t="shared" si="53"/>
        <v>98.64890594336978</v>
      </c>
      <c r="K162" s="21">
        <v>2815045.18</v>
      </c>
      <c r="L162" s="21">
        <v>2535463.88</v>
      </c>
      <c r="M162" s="25">
        <f t="shared" si="54"/>
        <v>0.11026830325029134</v>
      </c>
      <c r="N162" s="10"/>
      <c r="R162" s="2"/>
    </row>
    <row r="163" spans="1:18" ht="15" customHeight="1">
      <c r="A163" s="19"/>
      <c r="B163" s="20">
        <f>DATE(2019,11,1)</f>
        <v>43770</v>
      </c>
      <c r="C163" s="21">
        <v>56040</v>
      </c>
      <c r="D163" s="21">
        <v>49028</v>
      </c>
      <c r="E163" s="23">
        <f t="shared" si="50"/>
        <v>0.14302031492208533</v>
      </c>
      <c r="F163" s="21">
        <f>+C163-27978</f>
        <v>28062</v>
      </c>
      <c r="G163" s="21">
        <f>+D163-24232</f>
        <v>24796</v>
      </c>
      <c r="H163" s="23">
        <f t="shared" si="51"/>
        <v>0.13171479270850137</v>
      </c>
      <c r="I163" s="24">
        <f t="shared" si="52"/>
        <v>52.13008493932905</v>
      </c>
      <c r="J163" s="24">
        <f t="shared" si="53"/>
        <v>104.10412515145036</v>
      </c>
      <c r="K163" s="21">
        <v>2921369.96</v>
      </c>
      <c r="L163" s="21">
        <v>2404704.69</v>
      </c>
      <c r="M163" s="25">
        <f t="shared" si="54"/>
        <v>0.21485601627033882</v>
      </c>
      <c r="N163" s="10"/>
      <c r="R163" s="2"/>
    </row>
    <row r="164" spans="1:18" ht="15" customHeight="1">
      <c r="A164" s="19"/>
      <c r="B164" s="20">
        <f>DATE(2019,12,1)</f>
        <v>43800</v>
      </c>
      <c r="C164" s="21">
        <v>57797</v>
      </c>
      <c r="D164" s="21">
        <v>58147</v>
      </c>
      <c r="E164" s="23">
        <f t="shared" si="50"/>
        <v>-0.006019227131236349</v>
      </c>
      <c r="F164" s="21">
        <f>+C164-28840</f>
        <v>28957</v>
      </c>
      <c r="G164" s="21">
        <f>+D164-29074</f>
        <v>29073</v>
      </c>
      <c r="H164" s="23">
        <f t="shared" si="51"/>
        <v>-0.003989956316857566</v>
      </c>
      <c r="I164" s="24">
        <f t="shared" si="52"/>
        <v>48.26412478156306</v>
      </c>
      <c r="J164" s="24">
        <f t="shared" si="53"/>
        <v>96.33323963117726</v>
      </c>
      <c r="K164" s="21">
        <v>2789521.62</v>
      </c>
      <c r="L164" s="21">
        <v>2611923.73</v>
      </c>
      <c r="M164" s="25">
        <f t="shared" si="54"/>
        <v>0.06799505206072771</v>
      </c>
      <c r="N164" s="10"/>
      <c r="R164" s="2"/>
    </row>
    <row r="165" spans="1:18" ht="15" customHeight="1">
      <c r="A165" s="19"/>
      <c r="B165" s="20">
        <f>DATE(2020,1,1)</f>
        <v>43831</v>
      </c>
      <c r="C165" s="21">
        <v>48934</v>
      </c>
      <c r="D165" s="21">
        <v>41757</v>
      </c>
      <c r="E165" s="23">
        <f t="shared" si="50"/>
        <v>0.17187537418875878</v>
      </c>
      <c r="F165" s="21">
        <f>+C165-24962</f>
        <v>23972</v>
      </c>
      <c r="G165" s="21">
        <f>+D165-21350</f>
        <v>20407</v>
      </c>
      <c r="H165" s="23">
        <f t="shared" si="51"/>
        <v>0.1746949576125839</v>
      </c>
      <c r="I165" s="24">
        <f t="shared" si="52"/>
        <v>52.257414067928224</v>
      </c>
      <c r="J165" s="24">
        <f t="shared" si="53"/>
        <v>106.67296429167361</v>
      </c>
      <c r="K165" s="21">
        <v>2557164.3</v>
      </c>
      <c r="L165" s="21">
        <v>2055487.97</v>
      </c>
      <c r="M165" s="25">
        <f t="shared" si="54"/>
        <v>0.2440667799189308</v>
      </c>
      <c r="N165" s="10"/>
      <c r="R165" s="2"/>
    </row>
    <row r="166" spans="1:18" ht="15" customHeight="1">
      <c r="A166" s="19"/>
      <c r="B166" s="20">
        <f>DATE(2020,2,1)</f>
        <v>43862</v>
      </c>
      <c r="C166" s="21">
        <v>57643</v>
      </c>
      <c r="D166" s="21">
        <v>48742</v>
      </c>
      <c r="E166" s="23">
        <f t="shared" si="50"/>
        <v>0.18261458290591276</v>
      </c>
      <c r="F166" s="21">
        <f>+C166-29130</f>
        <v>28513</v>
      </c>
      <c r="G166" s="21">
        <f>+D166-24917</f>
        <v>23825</v>
      </c>
      <c r="H166" s="23">
        <f t="shared" si="51"/>
        <v>0.19676810073452256</v>
      </c>
      <c r="I166" s="24">
        <f t="shared" si="52"/>
        <v>52.004041080443415</v>
      </c>
      <c r="J166" s="24">
        <f t="shared" si="53"/>
        <v>105.13341072493249</v>
      </c>
      <c r="K166" s="21">
        <v>2997668.94</v>
      </c>
      <c r="L166" s="21">
        <v>2440368.92</v>
      </c>
      <c r="M166" s="25">
        <f t="shared" si="54"/>
        <v>0.22836711918130806</v>
      </c>
      <c r="N166" s="10"/>
      <c r="R166" s="2"/>
    </row>
    <row r="167" spans="1:18" ht="15" customHeight="1">
      <c r="A167" s="19"/>
      <c r="B167" s="20">
        <f>DATE(2020,3,1)</f>
        <v>43891</v>
      </c>
      <c r="C167" s="21">
        <v>31920</v>
      </c>
      <c r="D167" s="21">
        <v>61678</v>
      </c>
      <c r="E167" s="23">
        <f t="shared" si="50"/>
        <v>-0.48247349135834494</v>
      </c>
      <c r="F167" s="21">
        <f>+C167-15915</f>
        <v>16005</v>
      </c>
      <c r="G167" s="21">
        <f>+D167-31460</f>
        <v>30218</v>
      </c>
      <c r="H167" s="23">
        <f t="shared" si="51"/>
        <v>-0.47034879872923424</v>
      </c>
      <c r="I167" s="24">
        <f t="shared" si="52"/>
        <v>57.04325062656642</v>
      </c>
      <c r="J167" s="24">
        <f t="shared" si="53"/>
        <v>113.76573320837238</v>
      </c>
      <c r="K167" s="21">
        <v>1820820.56</v>
      </c>
      <c r="L167" s="21">
        <v>3079418.1</v>
      </c>
      <c r="M167" s="25">
        <f t="shared" si="54"/>
        <v>-0.4087127824571792</v>
      </c>
      <c r="N167" s="10"/>
      <c r="R167" s="2"/>
    </row>
    <row r="168" spans="1:18" ht="15" customHeight="1">
      <c r="A168" s="19"/>
      <c r="B168" s="20">
        <f>DATE(2020,4,1)</f>
        <v>43922</v>
      </c>
      <c r="C168" s="21">
        <v>0</v>
      </c>
      <c r="D168" s="21">
        <v>52634</v>
      </c>
      <c r="E168" s="23">
        <f t="shared" si="50"/>
        <v>-1</v>
      </c>
      <c r="F168" s="21">
        <v>0</v>
      </c>
      <c r="G168" s="21">
        <f>+D168-26199</f>
        <v>26435</v>
      </c>
      <c r="H168" s="23">
        <f t="shared" si="51"/>
        <v>-1</v>
      </c>
      <c r="I168" s="24">
        <v>0</v>
      </c>
      <c r="J168" s="24">
        <v>0</v>
      </c>
      <c r="K168" s="21">
        <v>0</v>
      </c>
      <c r="L168" s="21">
        <v>2521666.79</v>
      </c>
      <c r="M168" s="25">
        <f t="shared" si="54"/>
        <v>-1</v>
      </c>
      <c r="N168" s="10"/>
      <c r="R168" s="2"/>
    </row>
    <row r="169" spans="1:18" ht="15" customHeight="1">
      <c r="A169" s="19"/>
      <c r="B169" s="20">
        <f>DATE(2020,5,1)</f>
        <v>43952</v>
      </c>
      <c r="C169" s="21">
        <v>0</v>
      </c>
      <c r="D169" s="21">
        <v>53321</v>
      </c>
      <c r="E169" s="23">
        <f t="shared" si="50"/>
        <v>-1</v>
      </c>
      <c r="F169" s="21">
        <v>0</v>
      </c>
      <c r="G169" s="21">
        <f>+D169-26181</f>
        <v>27140</v>
      </c>
      <c r="H169" s="23">
        <f>(+F169-G169)/G169</f>
        <v>-1</v>
      </c>
      <c r="I169" s="24">
        <v>0</v>
      </c>
      <c r="J169" s="24">
        <v>0</v>
      </c>
      <c r="K169" s="21">
        <v>0</v>
      </c>
      <c r="L169" s="21">
        <v>2515135.16</v>
      </c>
      <c r="M169" s="25">
        <f t="shared" si="54"/>
        <v>-1</v>
      </c>
      <c r="N169" s="10"/>
      <c r="R169" s="2"/>
    </row>
    <row r="170" spans="1:18" ht="15" customHeight="1">
      <c r="A170" s="19"/>
      <c r="B170" s="20">
        <v>44002</v>
      </c>
      <c r="C170" s="21">
        <v>42270</v>
      </c>
      <c r="D170" s="21">
        <v>56070</v>
      </c>
      <c r="E170" s="23">
        <f t="shared" si="50"/>
        <v>-0.24612092027822366</v>
      </c>
      <c r="F170" s="21">
        <f>+C170-21105</f>
        <v>21165</v>
      </c>
      <c r="G170" s="21">
        <f>+D170-27173</f>
        <v>28897</v>
      </c>
      <c r="H170" s="23">
        <f>(+F170-G170)/G170</f>
        <v>-0.2675710281344084</v>
      </c>
      <c r="I170" s="24">
        <f>K170/C170</f>
        <v>71.90336905606814</v>
      </c>
      <c r="J170" s="24">
        <f>K170/F170</f>
        <v>143.60290148830617</v>
      </c>
      <c r="K170" s="21">
        <v>3039355.41</v>
      </c>
      <c r="L170" s="21">
        <v>2573784.09</v>
      </c>
      <c r="M170" s="25">
        <f t="shared" si="54"/>
        <v>0.18088981193445808</v>
      </c>
      <c r="N170" s="10"/>
      <c r="R170" s="2"/>
    </row>
    <row r="171" spans="1:18" ht="15" thickBot="1">
      <c r="A171" s="38"/>
      <c r="B171" s="20"/>
      <c r="C171" s="21"/>
      <c r="D171" s="21"/>
      <c r="E171" s="23"/>
      <c r="F171" s="21"/>
      <c r="G171" s="21"/>
      <c r="H171" s="23"/>
      <c r="I171" s="24"/>
      <c r="J171" s="24"/>
      <c r="K171" s="21"/>
      <c r="L171" s="21"/>
      <c r="M171" s="25"/>
      <c r="N171" s="10"/>
      <c r="R171" s="2"/>
    </row>
    <row r="172" spans="1:18" ht="16.5" thickBot="1" thickTop="1">
      <c r="A172" s="61" t="s">
        <v>14</v>
      </c>
      <c r="B172" s="51"/>
      <c r="C172" s="47">
        <f>SUM(C159:C171)</f>
        <v>534123</v>
      </c>
      <c r="D172" s="47">
        <f>SUM(D159:D171)</f>
        <v>658676</v>
      </c>
      <c r="E172" s="278">
        <f>(+C172-D172)/D172</f>
        <v>-0.18909600471248383</v>
      </c>
      <c r="F172" s="47">
        <f>SUM(F159:F171)</f>
        <v>269949</v>
      </c>
      <c r="G172" s="47">
        <f>SUM(G159:G171)</f>
        <v>334725</v>
      </c>
      <c r="H172" s="42">
        <f>(+F172-G172)/G172</f>
        <v>-0.19352005377548734</v>
      </c>
      <c r="I172" s="49">
        <f>K172/C172</f>
        <v>51.201981659655175</v>
      </c>
      <c r="J172" s="49">
        <f>K172/F172</f>
        <v>101.30860292129255</v>
      </c>
      <c r="K172" s="47">
        <f>SUM(K159:K171)</f>
        <v>27348156.05</v>
      </c>
      <c r="L172" s="47">
        <f>SUM(L159:L171)</f>
        <v>30954443</v>
      </c>
      <c r="M172" s="44">
        <f>(+K172-L172)/L172</f>
        <v>-0.11650304772080697</v>
      </c>
      <c r="N172" s="10"/>
      <c r="R172" s="2"/>
    </row>
    <row r="173" spans="1:18" ht="15.75" customHeight="1" thickTop="1">
      <c r="A173" s="19"/>
      <c r="B173" s="45"/>
      <c r="C173" s="21"/>
      <c r="D173" s="21"/>
      <c r="E173" s="23"/>
      <c r="F173" s="21"/>
      <c r="G173" s="21"/>
      <c r="H173" s="23"/>
      <c r="I173" s="24"/>
      <c r="J173" s="24"/>
      <c r="K173" s="21"/>
      <c r="L173" s="21"/>
      <c r="M173" s="25"/>
      <c r="N173" s="10"/>
      <c r="R173" s="2"/>
    </row>
    <row r="174" spans="1:18" ht="15">
      <c r="A174" s="19" t="s">
        <v>19</v>
      </c>
      <c r="B174" s="20">
        <f>DATE(2019,7,1)</f>
        <v>43647</v>
      </c>
      <c r="C174" s="21">
        <v>447474</v>
      </c>
      <c r="D174" s="21">
        <v>470294</v>
      </c>
      <c r="E174" s="23">
        <f aca="true" t="shared" si="55" ref="E174:E185">(+C174-D174)/D174</f>
        <v>-0.048522838905025366</v>
      </c>
      <c r="F174" s="21">
        <f>+C174-208413</f>
        <v>239061</v>
      </c>
      <c r="G174" s="21">
        <f>+D174-224781</f>
        <v>245513</v>
      </c>
      <c r="H174" s="23">
        <f aca="true" t="shared" si="56" ref="H174:H183">(+F174-G174)/G174</f>
        <v>-0.02627966747178357</v>
      </c>
      <c r="I174" s="24">
        <f aca="true" t="shared" si="57" ref="I174:I182">K174/C174</f>
        <v>50.94836323451195</v>
      </c>
      <c r="J174" s="24">
        <f aca="true" t="shared" si="58" ref="J174:J182">K174/F174</f>
        <v>95.36506535988723</v>
      </c>
      <c r="K174" s="21">
        <v>22798067.89</v>
      </c>
      <c r="L174" s="21">
        <v>23419555.78</v>
      </c>
      <c r="M174" s="25">
        <f aca="true" t="shared" si="59" ref="M174:M185">(+K174-L174)/L174</f>
        <v>-0.02653713400194991</v>
      </c>
      <c r="N174" s="10"/>
      <c r="R174" s="2"/>
    </row>
    <row r="175" spans="1:18" ht="15">
      <c r="A175" s="19"/>
      <c r="B175" s="20">
        <f>DATE(2019,8,1)</f>
        <v>43678</v>
      </c>
      <c r="C175" s="21">
        <v>463395</v>
      </c>
      <c r="D175" s="21">
        <v>474770</v>
      </c>
      <c r="E175" s="23">
        <f t="shared" si="55"/>
        <v>-0.0239589696063357</v>
      </c>
      <c r="F175" s="21">
        <f>+C175-219743</f>
        <v>243652</v>
      </c>
      <c r="G175" s="21">
        <f>+D175-232249</f>
        <v>242521</v>
      </c>
      <c r="H175" s="23">
        <f t="shared" si="56"/>
        <v>0.004663513675104424</v>
      </c>
      <c r="I175" s="24">
        <f t="shared" si="57"/>
        <v>50.06706664940278</v>
      </c>
      <c r="J175" s="24">
        <f t="shared" si="58"/>
        <v>95.22116933166977</v>
      </c>
      <c r="K175" s="21">
        <v>23200828.35</v>
      </c>
      <c r="L175" s="21">
        <v>23787231.31</v>
      </c>
      <c r="M175" s="25">
        <f t="shared" si="59"/>
        <v>-0.02465200562259119</v>
      </c>
      <c r="N175" s="10"/>
      <c r="R175" s="2"/>
    </row>
    <row r="176" spans="1:18" ht="15">
      <c r="A176" s="19"/>
      <c r="B176" s="20">
        <f>DATE(2019,9,1)</f>
        <v>43709</v>
      </c>
      <c r="C176" s="21">
        <v>425892</v>
      </c>
      <c r="D176" s="21">
        <v>439040</v>
      </c>
      <c r="E176" s="23">
        <f t="shared" si="55"/>
        <v>-0.029947157434402332</v>
      </c>
      <c r="F176" s="21">
        <f>+C176-202215</f>
        <v>223677</v>
      </c>
      <c r="G176" s="21">
        <f>+D176-213778</f>
        <v>225262</v>
      </c>
      <c r="H176" s="23">
        <f t="shared" si="56"/>
        <v>-0.007036251120916976</v>
      </c>
      <c r="I176" s="24">
        <f t="shared" si="57"/>
        <v>50.554840593389876</v>
      </c>
      <c r="J176" s="24">
        <f t="shared" si="58"/>
        <v>96.2589008704516</v>
      </c>
      <c r="K176" s="21">
        <v>21530902.17</v>
      </c>
      <c r="L176" s="21">
        <v>21674295.54</v>
      </c>
      <c r="M176" s="25">
        <f t="shared" si="59"/>
        <v>-0.006615826093879927</v>
      </c>
      <c r="N176" s="10"/>
      <c r="R176" s="2"/>
    </row>
    <row r="177" spans="1:18" ht="15">
      <c r="A177" s="19"/>
      <c r="B177" s="20">
        <f>DATE(2019,10,1)</f>
        <v>43739</v>
      </c>
      <c r="C177" s="21">
        <v>405696</v>
      </c>
      <c r="D177" s="21">
        <v>422287</v>
      </c>
      <c r="E177" s="23">
        <f t="shared" si="55"/>
        <v>-0.039288446009467494</v>
      </c>
      <c r="F177" s="21">
        <f>+C177-186355</f>
        <v>219341</v>
      </c>
      <c r="G177" s="21">
        <f>+D177-199383</f>
        <v>222904</v>
      </c>
      <c r="H177" s="23">
        <f t="shared" si="56"/>
        <v>-0.015984459677708788</v>
      </c>
      <c r="I177" s="24">
        <f t="shared" si="57"/>
        <v>53.73031084851712</v>
      </c>
      <c r="J177" s="24">
        <f t="shared" si="58"/>
        <v>99.38029000506062</v>
      </c>
      <c r="K177" s="21">
        <v>21798172.19</v>
      </c>
      <c r="L177" s="21">
        <v>20754214.07</v>
      </c>
      <c r="M177" s="25">
        <f t="shared" si="59"/>
        <v>0.050301019179956885</v>
      </c>
      <c r="N177" s="10"/>
      <c r="R177" s="2"/>
    </row>
    <row r="178" spans="1:18" ht="15">
      <c r="A178" s="19"/>
      <c r="B178" s="20">
        <f>DATE(2019,11,1)</f>
        <v>43770</v>
      </c>
      <c r="C178" s="21">
        <v>410474</v>
      </c>
      <c r="D178" s="21">
        <v>425527</v>
      </c>
      <c r="E178" s="23">
        <f t="shared" si="55"/>
        <v>-0.03537495858077161</v>
      </c>
      <c r="F178" s="21">
        <f>+C178-191079</f>
        <v>219395</v>
      </c>
      <c r="G178" s="21">
        <f>+D178-204971</f>
        <v>220556</v>
      </c>
      <c r="H178" s="23">
        <f t="shared" si="56"/>
        <v>-0.005263969241371806</v>
      </c>
      <c r="I178" s="24">
        <f t="shared" si="57"/>
        <v>50.735759073656304</v>
      </c>
      <c r="J178" s="24">
        <f t="shared" si="58"/>
        <v>94.92335727796896</v>
      </c>
      <c r="K178" s="21">
        <v>20825709.97</v>
      </c>
      <c r="L178" s="21">
        <v>21387450.19</v>
      </c>
      <c r="M178" s="25">
        <f t="shared" si="59"/>
        <v>-0.02626494579810416</v>
      </c>
      <c r="N178" s="10"/>
      <c r="R178" s="2"/>
    </row>
    <row r="179" spans="1:18" ht="15">
      <c r="A179" s="19"/>
      <c r="B179" s="20">
        <f>DATE(2019,12,1)</f>
        <v>43800</v>
      </c>
      <c r="C179" s="21">
        <v>436988</v>
      </c>
      <c r="D179" s="21">
        <v>480889</v>
      </c>
      <c r="E179" s="23">
        <f t="shared" si="55"/>
        <v>-0.0912913375020015</v>
      </c>
      <c r="F179" s="21">
        <f>+C179-202156</f>
        <v>234832</v>
      </c>
      <c r="G179" s="21">
        <f>+D179-230072</f>
        <v>250817</v>
      </c>
      <c r="H179" s="23">
        <f t="shared" si="56"/>
        <v>-0.06373172472360326</v>
      </c>
      <c r="I179" s="24">
        <f t="shared" si="57"/>
        <v>50.36765123985098</v>
      </c>
      <c r="J179" s="24">
        <f t="shared" si="58"/>
        <v>93.72683101110582</v>
      </c>
      <c r="K179" s="21">
        <v>22010059.18</v>
      </c>
      <c r="L179" s="21">
        <v>23039096.7</v>
      </c>
      <c r="M179" s="25">
        <f t="shared" si="59"/>
        <v>-0.044664837923094426</v>
      </c>
      <c r="N179" s="10"/>
      <c r="R179" s="2"/>
    </row>
    <row r="180" spans="1:18" ht="15">
      <c r="A180" s="19"/>
      <c r="B180" s="20">
        <f>DATE(2020,1,1)</f>
        <v>43831</v>
      </c>
      <c r="C180" s="21">
        <v>413705</v>
      </c>
      <c r="D180" s="21">
        <v>389075</v>
      </c>
      <c r="E180" s="23">
        <f t="shared" si="55"/>
        <v>0.06330399023324552</v>
      </c>
      <c r="F180" s="21">
        <f>+C180-196166</f>
        <v>217539</v>
      </c>
      <c r="G180" s="21">
        <f>+D180-191824</f>
        <v>197251</v>
      </c>
      <c r="H180" s="23">
        <f t="shared" si="56"/>
        <v>0.10285372444246163</v>
      </c>
      <c r="I180" s="24">
        <f t="shared" si="57"/>
        <v>51.174824645580784</v>
      </c>
      <c r="J180" s="24">
        <f t="shared" si="58"/>
        <v>97.32177140650641</v>
      </c>
      <c r="K180" s="21">
        <v>21171280.83</v>
      </c>
      <c r="L180" s="21">
        <v>19054517.33</v>
      </c>
      <c r="M180" s="25">
        <f t="shared" si="59"/>
        <v>0.11108985146883278</v>
      </c>
      <c r="N180" s="10"/>
      <c r="R180" s="2"/>
    </row>
    <row r="181" spans="1:18" ht="15">
      <c r="A181" s="19"/>
      <c r="B181" s="20">
        <f>DATE(2020,2,1)</f>
        <v>43862</v>
      </c>
      <c r="C181" s="21">
        <v>430579</v>
      </c>
      <c r="D181" s="21">
        <v>399765</v>
      </c>
      <c r="E181" s="23">
        <f t="shared" si="55"/>
        <v>0.07708028466724201</v>
      </c>
      <c r="F181" s="21">
        <f>+C181-205960</f>
        <v>224619</v>
      </c>
      <c r="G181" s="21">
        <f>+D181-193480</f>
        <v>206285</v>
      </c>
      <c r="H181" s="23">
        <f t="shared" si="56"/>
        <v>0.08887703904791915</v>
      </c>
      <c r="I181" s="24">
        <f t="shared" si="57"/>
        <v>49.4378429045541</v>
      </c>
      <c r="J181" s="24">
        <f t="shared" si="58"/>
        <v>94.768906281303</v>
      </c>
      <c r="K181" s="21">
        <v>21286896.96</v>
      </c>
      <c r="L181" s="21">
        <v>20892055.81</v>
      </c>
      <c r="M181" s="25">
        <f t="shared" si="59"/>
        <v>0.01889910469275174</v>
      </c>
      <c r="N181" s="10"/>
      <c r="R181" s="2"/>
    </row>
    <row r="182" spans="1:18" ht="15">
      <c r="A182" s="19"/>
      <c r="B182" s="20">
        <f>DATE(2020,3,1)</f>
        <v>43891</v>
      </c>
      <c r="C182" s="21">
        <v>213931</v>
      </c>
      <c r="D182" s="21">
        <v>489112</v>
      </c>
      <c r="E182" s="23">
        <f t="shared" si="55"/>
        <v>-0.5626134709432604</v>
      </c>
      <c r="F182" s="21">
        <f>+C182-102211</f>
        <v>111720</v>
      </c>
      <c r="G182" s="21">
        <f>+D182-235747</f>
        <v>253365</v>
      </c>
      <c r="H182" s="23">
        <f t="shared" si="56"/>
        <v>-0.5590551181102362</v>
      </c>
      <c r="I182" s="24">
        <f t="shared" si="57"/>
        <v>54.572086560620015</v>
      </c>
      <c r="J182" s="24">
        <f t="shared" si="58"/>
        <v>104.4992933225922</v>
      </c>
      <c r="K182" s="21">
        <v>11674661.05</v>
      </c>
      <c r="L182" s="21">
        <v>24837856.81</v>
      </c>
      <c r="M182" s="25">
        <f t="shared" si="59"/>
        <v>-0.5299650392823083</v>
      </c>
      <c r="N182" s="10"/>
      <c r="R182" s="2"/>
    </row>
    <row r="183" spans="1:18" ht="15">
      <c r="A183" s="19"/>
      <c r="B183" s="20">
        <f>DATE(2020,4,1)</f>
        <v>43922</v>
      </c>
      <c r="C183" s="21">
        <v>0</v>
      </c>
      <c r="D183" s="21">
        <v>420619</v>
      </c>
      <c r="E183" s="23">
        <f t="shared" si="55"/>
        <v>-1</v>
      </c>
      <c r="F183" s="21">
        <v>0</v>
      </c>
      <c r="G183" s="21">
        <f>+D183-198935</f>
        <v>221684</v>
      </c>
      <c r="H183" s="23">
        <f t="shared" si="56"/>
        <v>-1</v>
      </c>
      <c r="I183" s="24">
        <v>0</v>
      </c>
      <c r="J183" s="24">
        <v>0</v>
      </c>
      <c r="K183" s="21">
        <v>0</v>
      </c>
      <c r="L183" s="21">
        <v>22538771.65</v>
      </c>
      <c r="M183" s="25">
        <f t="shared" si="59"/>
        <v>-1</v>
      </c>
      <c r="N183" s="10"/>
      <c r="R183" s="2"/>
    </row>
    <row r="184" spans="1:18" ht="15">
      <c r="A184" s="19"/>
      <c r="B184" s="20">
        <f>DATE(2020,5,1)</f>
        <v>43952</v>
      </c>
      <c r="C184" s="21">
        <v>0</v>
      </c>
      <c r="D184" s="21">
        <v>457426</v>
      </c>
      <c r="E184" s="23">
        <f t="shared" si="55"/>
        <v>-1</v>
      </c>
      <c r="F184" s="21">
        <v>0</v>
      </c>
      <c r="G184" s="21">
        <f>+D184-216873</f>
        <v>240553</v>
      </c>
      <c r="H184" s="23">
        <f>(+F184-G184)/G184</f>
        <v>-1</v>
      </c>
      <c r="I184" s="24">
        <v>0</v>
      </c>
      <c r="J184" s="24">
        <v>0</v>
      </c>
      <c r="K184" s="21">
        <v>0</v>
      </c>
      <c r="L184" s="21">
        <v>23556071.12</v>
      </c>
      <c r="M184" s="25">
        <f t="shared" si="59"/>
        <v>-1</v>
      </c>
      <c r="N184" s="10"/>
      <c r="R184" s="2"/>
    </row>
    <row r="185" spans="1:18" ht="15">
      <c r="A185" s="19"/>
      <c r="B185" s="20">
        <v>44002</v>
      </c>
      <c r="C185" s="21">
        <v>363749</v>
      </c>
      <c r="D185" s="21">
        <v>440859</v>
      </c>
      <c r="E185" s="23">
        <f t="shared" si="55"/>
        <v>-0.17490853084546307</v>
      </c>
      <c r="F185" s="21">
        <f>+C185-192393</f>
        <v>171356</v>
      </c>
      <c r="G185" s="21">
        <f>+D185-208624</f>
        <v>232235</v>
      </c>
      <c r="H185" s="23">
        <f>(+F185-G185)/G185</f>
        <v>-0.2621439490171593</v>
      </c>
      <c r="I185" s="24">
        <f>K185/C185</f>
        <v>72.88724084464836</v>
      </c>
      <c r="J185" s="24">
        <f>K185/F185</f>
        <v>154.72268826303133</v>
      </c>
      <c r="K185" s="21">
        <v>26512660.97</v>
      </c>
      <c r="L185" s="21">
        <v>23782828.6</v>
      </c>
      <c r="M185" s="25">
        <f t="shared" si="59"/>
        <v>0.11478165259114709</v>
      </c>
      <c r="N185" s="10"/>
      <c r="R185" s="2"/>
    </row>
    <row r="186" spans="1:18" ht="15" thickBot="1">
      <c r="A186" s="38"/>
      <c r="B186" s="45"/>
      <c r="C186" s="21"/>
      <c r="D186" s="21"/>
      <c r="E186" s="23"/>
      <c r="F186" s="21"/>
      <c r="G186" s="21"/>
      <c r="H186" s="23"/>
      <c r="I186" s="24"/>
      <c r="J186" s="24"/>
      <c r="K186" s="21"/>
      <c r="L186" s="21"/>
      <c r="M186" s="25"/>
      <c r="N186" s="10"/>
      <c r="R186" s="2"/>
    </row>
    <row r="187" spans="1:18" ht="16.5" thickBot="1" thickTop="1">
      <c r="A187" s="39" t="s">
        <v>14</v>
      </c>
      <c r="B187" s="40"/>
      <c r="C187" s="41">
        <f>SUM(C174:C186)</f>
        <v>4011883</v>
      </c>
      <c r="D187" s="41">
        <f>SUM(D174:D186)</f>
        <v>5309663</v>
      </c>
      <c r="E187" s="278">
        <f>(+C187-D187)/D187</f>
        <v>-0.24441852524350416</v>
      </c>
      <c r="F187" s="41">
        <f>SUM(F174:F186)</f>
        <v>2105192</v>
      </c>
      <c r="G187" s="41">
        <f>SUM(G174:G186)</f>
        <v>2758946</v>
      </c>
      <c r="H187" s="42">
        <f>(+F187-G187)/G187</f>
        <v>-0.2369578817417956</v>
      </c>
      <c r="I187" s="43">
        <f>K187/C187</f>
        <v>53.044727266473124</v>
      </c>
      <c r="J187" s="43">
        <f>K187/F187</f>
        <v>101.0878055588279</v>
      </c>
      <c r="K187" s="41">
        <f>SUM(K174:K186)</f>
        <v>212809239.56</v>
      </c>
      <c r="L187" s="41">
        <f>SUM(L174:L186)</f>
        <v>268723944.91</v>
      </c>
      <c r="M187" s="44">
        <f>(+K187-L187)/L187</f>
        <v>-0.2080748902697404</v>
      </c>
      <c r="N187" s="10"/>
      <c r="R187" s="2"/>
    </row>
    <row r="188" spans="1:18" ht="15.75" customHeight="1" thickTop="1">
      <c r="A188" s="19"/>
      <c r="B188" s="45"/>
      <c r="C188" s="21"/>
      <c r="D188" s="21"/>
      <c r="E188" s="23"/>
      <c r="F188" s="21"/>
      <c r="G188" s="21"/>
      <c r="H188" s="23"/>
      <c r="I188" s="24"/>
      <c r="J188" s="24"/>
      <c r="K188" s="21"/>
      <c r="L188" s="21"/>
      <c r="M188" s="25"/>
      <c r="N188" s="10"/>
      <c r="R188" s="2"/>
    </row>
    <row r="189" spans="1:18" ht="15">
      <c r="A189" s="19" t="s">
        <v>63</v>
      </c>
      <c r="B189" s="20">
        <f>DATE(2019,7,1)</f>
        <v>43647</v>
      </c>
      <c r="C189" s="21">
        <v>77431</v>
      </c>
      <c r="D189" s="21">
        <v>83462</v>
      </c>
      <c r="E189" s="23">
        <f aca="true" t="shared" si="60" ref="E189:E200">(+C189-D189)/D189</f>
        <v>-0.07226042989624021</v>
      </c>
      <c r="F189" s="21">
        <f>+C189-35761</f>
        <v>41670</v>
      </c>
      <c r="G189" s="21">
        <f>+D189-37670</f>
        <v>45792</v>
      </c>
      <c r="H189" s="23">
        <f aca="true" t="shared" si="61" ref="H189:H198">(+F189-G189)/G189</f>
        <v>-0.09001572327044025</v>
      </c>
      <c r="I189" s="24">
        <f aca="true" t="shared" si="62" ref="I189:I197">K189/C189</f>
        <v>43.86689930389637</v>
      </c>
      <c r="J189" s="24">
        <f aca="true" t="shared" si="63" ref="J189:J197">K189/F189</f>
        <v>81.51326805855531</v>
      </c>
      <c r="K189" s="21">
        <v>3396657.88</v>
      </c>
      <c r="L189" s="21">
        <v>3596592.5</v>
      </c>
      <c r="M189" s="25">
        <f aca="true" t="shared" si="64" ref="M189:M200">(+K189-L189)/L189</f>
        <v>-0.05559001193490786</v>
      </c>
      <c r="N189" s="10"/>
      <c r="R189" s="2"/>
    </row>
    <row r="190" spans="1:18" ht="15">
      <c r="A190" s="19"/>
      <c r="B190" s="20">
        <f>DATE(2019,8,1)</f>
        <v>43678</v>
      </c>
      <c r="C190" s="21">
        <v>83032</v>
      </c>
      <c r="D190" s="21">
        <v>82775</v>
      </c>
      <c r="E190" s="23">
        <f t="shared" si="60"/>
        <v>0.0031048021745696164</v>
      </c>
      <c r="F190" s="21">
        <f>+C190-37844</f>
        <v>45188</v>
      </c>
      <c r="G190" s="21">
        <f>+D190-37255</f>
        <v>45520</v>
      </c>
      <c r="H190" s="23">
        <f t="shared" si="61"/>
        <v>-0.007293497363796133</v>
      </c>
      <c r="I190" s="24">
        <f t="shared" si="62"/>
        <v>42.0536719577994</v>
      </c>
      <c r="J190" s="24">
        <f t="shared" si="63"/>
        <v>77.27273811631407</v>
      </c>
      <c r="K190" s="21">
        <v>3491800.49</v>
      </c>
      <c r="L190" s="21">
        <v>3639194.09</v>
      </c>
      <c r="M190" s="25">
        <f t="shared" si="64"/>
        <v>-0.04050171448811064</v>
      </c>
      <c r="N190" s="10"/>
      <c r="R190" s="2"/>
    </row>
    <row r="191" spans="1:18" ht="15">
      <c r="A191" s="19"/>
      <c r="B191" s="20">
        <f>DATE(2019,9,1)</f>
        <v>43709</v>
      </c>
      <c r="C191" s="21">
        <v>70924</v>
      </c>
      <c r="D191" s="21">
        <v>77092</v>
      </c>
      <c r="E191" s="23">
        <f t="shared" si="60"/>
        <v>-0.08000830176931459</v>
      </c>
      <c r="F191" s="21">
        <f>+C191-32729</f>
        <v>38195</v>
      </c>
      <c r="G191" s="21">
        <f>+D191-35421</f>
        <v>41671</v>
      </c>
      <c r="H191" s="23">
        <f t="shared" si="61"/>
        <v>-0.08341532480622016</v>
      </c>
      <c r="I191" s="24">
        <f t="shared" si="62"/>
        <v>47.53593635440753</v>
      </c>
      <c r="J191" s="24">
        <f t="shared" si="63"/>
        <v>88.26911244927346</v>
      </c>
      <c r="K191" s="21">
        <v>3371438.75</v>
      </c>
      <c r="L191" s="21">
        <v>3422069</v>
      </c>
      <c r="M191" s="25">
        <f t="shared" si="64"/>
        <v>-0.014795215993599195</v>
      </c>
      <c r="N191" s="10"/>
      <c r="R191" s="2"/>
    </row>
    <row r="192" spans="1:18" ht="15">
      <c r="A192" s="19"/>
      <c r="B192" s="20">
        <f>DATE(2019,10,1)</f>
        <v>43739</v>
      </c>
      <c r="C192" s="21">
        <v>70482</v>
      </c>
      <c r="D192" s="21">
        <v>82223</v>
      </c>
      <c r="E192" s="23">
        <f t="shared" si="60"/>
        <v>-0.14279459518626175</v>
      </c>
      <c r="F192" s="21">
        <f>+C192-33635</f>
        <v>36847</v>
      </c>
      <c r="G192" s="21">
        <f>+D192-37480</f>
        <v>44743</v>
      </c>
      <c r="H192" s="23">
        <f t="shared" si="61"/>
        <v>-0.17647453232907942</v>
      </c>
      <c r="I192" s="24">
        <f t="shared" si="62"/>
        <v>46.45171518969382</v>
      </c>
      <c r="J192" s="24">
        <f t="shared" si="63"/>
        <v>88.85417510245068</v>
      </c>
      <c r="K192" s="21">
        <v>3274009.79</v>
      </c>
      <c r="L192" s="21">
        <v>3392612.93</v>
      </c>
      <c r="M192" s="25">
        <f t="shared" si="64"/>
        <v>-0.03495923126131578</v>
      </c>
      <c r="N192" s="10"/>
      <c r="R192" s="2"/>
    </row>
    <row r="193" spans="1:18" ht="15">
      <c r="A193" s="19"/>
      <c r="B193" s="20">
        <f>DATE(2019,11,1)</f>
        <v>43770</v>
      </c>
      <c r="C193" s="21">
        <v>73056</v>
      </c>
      <c r="D193" s="21">
        <v>76303</v>
      </c>
      <c r="E193" s="23">
        <f t="shared" si="60"/>
        <v>-0.042554028019868156</v>
      </c>
      <c r="F193" s="21">
        <f>+C193-35437</f>
        <v>37619</v>
      </c>
      <c r="G193" s="21">
        <f>+D193-35181</f>
        <v>41122</v>
      </c>
      <c r="H193" s="23">
        <f t="shared" si="61"/>
        <v>-0.08518554545012402</v>
      </c>
      <c r="I193" s="24">
        <f t="shared" si="62"/>
        <v>46.23166064388962</v>
      </c>
      <c r="J193" s="24">
        <f t="shared" si="63"/>
        <v>89.78176453387916</v>
      </c>
      <c r="K193" s="21">
        <v>3377500.2</v>
      </c>
      <c r="L193" s="21">
        <v>3366475.85</v>
      </c>
      <c r="M193" s="25">
        <f t="shared" si="64"/>
        <v>0.0032747450126517593</v>
      </c>
      <c r="N193" s="10"/>
      <c r="R193" s="2"/>
    </row>
    <row r="194" spans="1:18" ht="15">
      <c r="A194" s="19"/>
      <c r="B194" s="20">
        <f>DATE(2019,12,1)</f>
        <v>43800</v>
      </c>
      <c r="C194" s="21">
        <v>74995</v>
      </c>
      <c r="D194" s="21">
        <v>85578</v>
      </c>
      <c r="E194" s="23">
        <f t="shared" si="60"/>
        <v>-0.12366496062072029</v>
      </c>
      <c r="F194" s="21">
        <f>+C194-35471</f>
        <v>39524</v>
      </c>
      <c r="G194" s="21">
        <f>+D194-40324</f>
        <v>45254</v>
      </c>
      <c r="H194" s="23">
        <f t="shared" si="61"/>
        <v>-0.12661864144606003</v>
      </c>
      <c r="I194" s="24">
        <f t="shared" si="62"/>
        <v>47.13118861257418</v>
      </c>
      <c r="J194" s="24">
        <f t="shared" si="63"/>
        <v>89.42929587086329</v>
      </c>
      <c r="K194" s="21">
        <v>3534603.49</v>
      </c>
      <c r="L194" s="21">
        <v>3763977.96</v>
      </c>
      <c r="M194" s="25">
        <f t="shared" si="64"/>
        <v>-0.06093937648880381</v>
      </c>
      <c r="N194" s="10"/>
      <c r="R194" s="2"/>
    </row>
    <row r="195" spans="1:18" ht="15">
      <c r="A195" s="19"/>
      <c r="B195" s="20">
        <f>DATE(2020,1,1)</f>
        <v>43831</v>
      </c>
      <c r="C195" s="21">
        <v>73278</v>
      </c>
      <c r="D195" s="21">
        <v>73768</v>
      </c>
      <c r="E195" s="23">
        <f t="shared" si="60"/>
        <v>-0.006642446589307017</v>
      </c>
      <c r="F195" s="21">
        <f>+C195-33277</f>
        <v>40001</v>
      </c>
      <c r="G195" s="21">
        <f>+D195-34302</f>
        <v>39466</v>
      </c>
      <c r="H195" s="23">
        <f t="shared" si="61"/>
        <v>0.013555972229260629</v>
      </c>
      <c r="I195" s="24">
        <f t="shared" si="62"/>
        <v>46.581612762357054</v>
      </c>
      <c r="J195" s="24">
        <f t="shared" si="63"/>
        <v>85.33305217369566</v>
      </c>
      <c r="K195" s="21">
        <v>3413407.42</v>
      </c>
      <c r="L195" s="21">
        <v>3334980.73</v>
      </c>
      <c r="M195" s="25">
        <f t="shared" si="64"/>
        <v>0.023516384755842334</v>
      </c>
      <c r="N195" s="10"/>
      <c r="R195" s="2"/>
    </row>
    <row r="196" spans="1:18" ht="15">
      <c r="A196" s="19"/>
      <c r="B196" s="20">
        <f>DATE(2020,2,1)</f>
        <v>43862</v>
      </c>
      <c r="C196" s="21">
        <v>79497</v>
      </c>
      <c r="D196" s="21">
        <v>79911</v>
      </c>
      <c r="E196" s="23">
        <f t="shared" si="60"/>
        <v>-0.005180763599504448</v>
      </c>
      <c r="F196" s="21">
        <f>+C196-36820</f>
        <v>42677</v>
      </c>
      <c r="G196" s="21">
        <f>+D196-38130</f>
        <v>41781</v>
      </c>
      <c r="H196" s="23">
        <f t="shared" si="61"/>
        <v>0.021445154496062803</v>
      </c>
      <c r="I196" s="24">
        <f t="shared" si="62"/>
        <v>48.70975911040669</v>
      </c>
      <c r="J196" s="24">
        <f t="shared" si="63"/>
        <v>90.73458115612625</v>
      </c>
      <c r="K196" s="21">
        <v>3872279.72</v>
      </c>
      <c r="L196" s="21">
        <v>3559615.84</v>
      </c>
      <c r="M196" s="25">
        <f t="shared" si="64"/>
        <v>0.08783641102125232</v>
      </c>
      <c r="N196" s="10"/>
      <c r="R196" s="2"/>
    </row>
    <row r="197" spans="1:18" ht="15">
      <c r="A197" s="19"/>
      <c r="B197" s="20">
        <f>DATE(2020,3,1)</f>
        <v>43891</v>
      </c>
      <c r="C197" s="21">
        <v>43437</v>
      </c>
      <c r="D197" s="21">
        <v>51590</v>
      </c>
      <c r="E197" s="23">
        <f t="shared" si="60"/>
        <v>-0.1580345028106222</v>
      </c>
      <c r="F197" s="21">
        <f>+C197-19777</f>
        <v>23660</v>
      </c>
      <c r="G197" s="21">
        <f>+D197-24047</f>
        <v>27543</v>
      </c>
      <c r="H197" s="23">
        <f t="shared" si="61"/>
        <v>-0.14097955923465127</v>
      </c>
      <c r="I197" s="24">
        <f t="shared" si="62"/>
        <v>48.87433547436517</v>
      </c>
      <c r="J197" s="24">
        <f t="shared" si="63"/>
        <v>89.72757861369399</v>
      </c>
      <c r="K197" s="21">
        <v>2122954.51</v>
      </c>
      <c r="L197" s="21">
        <v>2276394.57</v>
      </c>
      <c r="M197" s="25">
        <f t="shared" si="64"/>
        <v>-0.06740486118801454</v>
      </c>
      <c r="N197" s="10"/>
      <c r="R197" s="2"/>
    </row>
    <row r="198" spans="1:18" ht="15">
      <c r="A198" s="19"/>
      <c r="B198" s="20">
        <f>DATE(2020,4,1)</f>
        <v>43922</v>
      </c>
      <c r="C198" s="21">
        <v>0</v>
      </c>
      <c r="D198" s="21">
        <v>23917</v>
      </c>
      <c r="E198" s="23">
        <f t="shared" si="60"/>
        <v>-1</v>
      </c>
      <c r="F198" s="21">
        <v>0</v>
      </c>
      <c r="G198" s="21">
        <f>+D198-11625</f>
        <v>12292</v>
      </c>
      <c r="H198" s="23">
        <f t="shared" si="61"/>
        <v>-1</v>
      </c>
      <c r="I198" s="24">
        <v>0</v>
      </c>
      <c r="J198" s="24">
        <v>0</v>
      </c>
      <c r="K198" s="21">
        <v>0</v>
      </c>
      <c r="L198" s="21">
        <v>1262885.36</v>
      </c>
      <c r="M198" s="25">
        <f t="shared" si="64"/>
        <v>-1</v>
      </c>
      <c r="N198" s="10"/>
      <c r="R198" s="2"/>
    </row>
    <row r="199" spans="1:18" ht="15">
      <c r="A199" s="19"/>
      <c r="B199" s="20">
        <f>DATE(2020,5,1)</f>
        <v>43952</v>
      </c>
      <c r="C199" s="21">
        <v>0</v>
      </c>
      <c r="D199" s="21">
        <v>68420</v>
      </c>
      <c r="E199" s="23">
        <f t="shared" si="60"/>
        <v>-1</v>
      </c>
      <c r="F199" s="21">
        <v>0</v>
      </c>
      <c r="G199" s="21">
        <f>+D199-32728</f>
        <v>35692</v>
      </c>
      <c r="H199" s="23">
        <f>(+F199-G199)/G199</f>
        <v>-1</v>
      </c>
      <c r="I199" s="24">
        <v>0</v>
      </c>
      <c r="J199" s="24">
        <v>0</v>
      </c>
      <c r="K199" s="21">
        <v>0</v>
      </c>
      <c r="L199" s="21">
        <v>3227629.3</v>
      </c>
      <c r="M199" s="25">
        <f t="shared" si="64"/>
        <v>-1</v>
      </c>
      <c r="N199" s="10"/>
      <c r="R199" s="2"/>
    </row>
    <row r="200" spans="1:18" ht="15">
      <c r="A200" s="19"/>
      <c r="B200" s="20">
        <v>44002</v>
      </c>
      <c r="C200" s="21">
        <v>47104</v>
      </c>
      <c r="D200" s="21">
        <v>61340</v>
      </c>
      <c r="E200" s="23">
        <f t="shared" si="60"/>
        <v>-0.23208346918813172</v>
      </c>
      <c r="F200" s="21">
        <f>+C200-21489</f>
        <v>25615</v>
      </c>
      <c r="G200" s="21">
        <f>+D200-29567</f>
        <v>31773</v>
      </c>
      <c r="H200" s="23">
        <f>(+F200-G200)/G200</f>
        <v>-0.19381235640323546</v>
      </c>
      <c r="I200" s="24">
        <f>K200/C200</f>
        <v>63.5882861328125</v>
      </c>
      <c r="J200" s="24">
        <f>K200/F200</f>
        <v>116.9339305094671</v>
      </c>
      <c r="K200" s="21">
        <v>2995262.63</v>
      </c>
      <c r="L200" s="21">
        <v>2879525.51</v>
      </c>
      <c r="M200" s="25">
        <f t="shared" si="64"/>
        <v>0.04019312195640181</v>
      </c>
      <c r="N200" s="10"/>
      <c r="R200" s="2"/>
    </row>
    <row r="201" spans="1:18" ht="15" thickBot="1">
      <c r="A201" s="38"/>
      <c r="B201" s="45"/>
      <c r="C201" s="21"/>
      <c r="D201" s="21"/>
      <c r="E201" s="23"/>
      <c r="F201" s="21"/>
      <c r="G201" s="21"/>
      <c r="H201" s="23"/>
      <c r="I201" s="24"/>
      <c r="J201" s="24"/>
      <c r="K201" s="21"/>
      <c r="L201" s="21"/>
      <c r="M201" s="25"/>
      <c r="N201" s="10"/>
      <c r="R201" s="2"/>
    </row>
    <row r="202" spans="1:18" ht="16.5" thickBot="1" thickTop="1">
      <c r="A202" s="26" t="s">
        <v>14</v>
      </c>
      <c r="B202" s="27"/>
      <c r="C202" s="28">
        <f>SUM(C189:C201)</f>
        <v>693236</v>
      </c>
      <c r="D202" s="28">
        <f>SUM(D189:D201)</f>
        <v>846379</v>
      </c>
      <c r="E202" s="278">
        <f>(+C202-D202)/D202</f>
        <v>-0.18093903558571278</v>
      </c>
      <c r="F202" s="28">
        <f>SUM(F189:F201)</f>
        <v>370996</v>
      </c>
      <c r="G202" s="28">
        <f>SUM(G189:G201)</f>
        <v>452649</v>
      </c>
      <c r="H202" s="42">
        <f>(+F202-G202)/G202</f>
        <v>-0.18038921990328047</v>
      </c>
      <c r="I202" s="43">
        <f>K202/C202</f>
        <v>47.386337235804255</v>
      </c>
      <c r="J202" s="43">
        <f>K202/F202</f>
        <v>88.5451996247938</v>
      </c>
      <c r="K202" s="28">
        <f>SUM(K189:K201)</f>
        <v>32849914.88</v>
      </c>
      <c r="L202" s="28">
        <f>SUM(L189:L201)</f>
        <v>37721953.64</v>
      </c>
      <c r="M202" s="44">
        <f>(+K202-L202)/L202</f>
        <v>-0.12915658628119775</v>
      </c>
      <c r="N202" s="10"/>
      <c r="R202" s="2"/>
    </row>
    <row r="203" spans="1:18" ht="15.75" thickBot="1" thickTop="1">
      <c r="A203" s="62"/>
      <c r="B203" s="34"/>
      <c r="C203" s="35"/>
      <c r="D203" s="35"/>
      <c r="E203" s="29"/>
      <c r="F203" s="35"/>
      <c r="G203" s="35"/>
      <c r="H203" s="29"/>
      <c r="I203" s="36"/>
      <c r="J203" s="36"/>
      <c r="K203" s="35"/>
      <c r="L203" s="35"/>
      <c r="M203" s="37"/>
      <c r="N203" s="10"/>
      <c r="R203" s="2"/>
    </row>
    <row r="204" spans="1:18" ht="16.5" thickBot="1" thickTop="1">
      <c r="A204" s="63" t="s">
        <v>20</v>
      </c>
      <c r="B204" s="64"/>
      <c r="C204" s="28">
        <f>C202+C187+C82+C112+C127+C52+C22+C142+C157+C67+C172+C37+C97</f>
        <v>27784524</v>
      </c>
      <c r="D204" s="28">
        <f>D202+D187+D82+D112+D127+D52+D22+D142+D157+D67+D172+D37+D97</f>
        <v>37502046</v>
      </c>
      <c r="E204" s="277">
        <f>(+C204-D204)/D204</f>
        <v>-0.25911978242467093</v>
      </c>
      <c r="F204" s="28">
        <f>F202+F187+F82+F112+F127+F52+F22+F142+F157+F67+F172+F37+F97</f>
        <v>14627244</v>
      </c>
      <c r="G204" s="28">
        <f>G202+G187+G82+G112+G127+G52+G22+G142+G157+G67+G172+G37+G97</f>
        <v>19639389</v>
      </c>
      <c r="H204" s="30">
        <f>(+F204-G204)/G204</f>
        <v>-0.25520880512117766</v>
      </c>
      <c r="I204" s="31">
        <f>K204/C204</f>
        <v>48.67441068920237</v>
      </c>
      <c r="J204" s="31">
        <f>K204/F204</f>
        <v>92.45728942376293</v>
      </c>
      <c r="K204" s="28">
        <f>K202+K187+K82+K112+K127+K52+K22+K142+K157+K67+K172+K37+K97</f>
        <v>1352395331.9799998</v>
      </c>
      <c r="L204" s="28">
        <f>L202+L187+L82+L112+L127+L52+L22+L142+L157+L67+L172+L37+L97</f>
        <v>1735743822.71</v>
      </c>
      <c r="M204" s="32">
        <f>(+K204-L204)/L204</f>
        <v>-0.22085545442499802</v>
      </c>
      <c r="N204" s="10"/>
      <c r="R204" s="2"/>
    </row>
    <row r="205" spans="1:18" ht="16.5" thickBot="1" thickTop="1">
      <c r="A205" s="63"/>
      <c r="B205" s="64"/>
      <c r="C205" s="28"/>
      <c r="D205" s="28"/>
      <c r="E205" s="29"/>
      <c r="F205" s="28"/>
      <c r="G205" s="28"/>
      <c r="H205" s="30"/>
      <c r="I205" s="31"/>
      <c r="J205" s="31"/>
      <c r="K205" s="28"/>
      <c r="L205" s="28"/>
      <c r="M205" s="32"/>
      <c r="N205" s="10"/>
      <c r="R205" s="2"/>
    </row>
    <row r="206" spans="1:18" ht="16.5" thickBot="1" thickTop="1">
      <c r="A206" s="63" t="s">
        <v>21</v>
      </c>
      <c r="B206" s="64"/>
      <c r="C206" s="28">
        <f>SUM(C20+C35+C50+C65+C80+C95+C110+C125+C140+C155+C170+C185+C200)</f>
        <v>1743607</v>
      </c>
      <c r="D206" s="28">
        <f>SUM(D20+D35+D50+D65+D80+D95+D110+D125+D140+D155+D170+D185+D200)</f>
        <v>3020082</v>
      </c>
      <c r="E206" s="277">
        <f>(+C206-D206)/D206</f>
        <v>-0.4226623647967174</v>
      </c>
      <c r="F206" s="28">
        <f>SUM(F20+F35+F50+F65+F80+F95+F110+F125+F140+F155+F170+F185+F200)</f>
        <v>876203</v>
      </c>
      <c r="G206" s="28">
        <f>SUM(G20+G35+G50+G65+G80+G95+G110+G125+G140+G155+G170+G185+G200)</f>
        <v>1595601</v>
      </c>
      <c r="H206" s="30">
        <f>(+F206-G206)/G206</f>
        <v>-0.45086334240201653</v>
      </c>
      <c r="I206" s="31">
        <f>K206/C206</f>
        <v>68.34541648433391</v>
      </c>
      <c r="J206" s="31">
        <f>K206/F206</f>
        <v>136.00449507705406</v>
      </c>
      <c r="K206" s="28">
        <f>SUM(K20+K35+K50+K65+K80+K95+K110+K125+K140+K155+K170+K185+K200)</f>
        <v>119167546.6</v>
      </c>
      <c r="L206" s="28">
        <f>SUM(L20+L35+L50+L65+L80+L95+L110+L125+L140+L155+L170+L185+L200)</f>
        <v>143240685.76</v>
      </c>
      <c r="M206" s="44">
        <f>(+K206-L206)/L206</f>
        <v>-0.16806076452562216</v>
      </c>
      <c r="N206" s="10"/>
      <c r="R206" s="2"/>
    </row>
    <row r="207" spans="1:18" ht="15" thickTop="1">
      <c r="A207" s="65"/>
      <c r="B207" s="66"/>
      <c r="C207" s="67"/>
      <c r="D207" s="66"/>
      <c r="E207" s="66"/>
      <c r="F207" s="66"/>
      <c r="G207" s="66"/>
      <c r="H207" s="66"/>
      <c r="I207" s="66"/>
      <c r="J207" s="66"/>
      <c r="K207" s="67"/>
      <c r="L207" s="67"/>
      <c r="M207" s="66"/>
      <c r="R207" s="2"/>
    </row>
    <row r="208" spans="1:18" ht="17.25">
      <c r="A208" s="263" t="s">
        <v>22</v>
      </c>
      <c r="B208" s="69"/>
      <c r="C208" s="70"/>
      <c r="D208" s="70"/>
      <c r="E208" s="70"/>
      <c r="F208" s="70"/>
      <c r="G208" s="70"/>
      <c r="H208" s="70"/>
      <c r="I208" s="70"/>
      <c r="J208" s="70"/>
      <c r="K208" s="197"/>
      <c r="L208" s="197"/>
      <c r="M208" s="70"/>
      <c r="N208" s="2"/>
      <c r="O208" s="2"/>
      <c r="P208" s="2"/>
      <c r="Q208" s="2"/>
      <c r="R208" s="2"/>
    </row>
    <row r="209" spans="1:18" ht="17.25">
      <c r="A209" s="68" t="s">
        <v>69</v>
      </c>
      <c r="B209" s="69"/>
      <c r="C209" s="70"/>
      <c r="D209" s="70"/>
      <c r="E209" s="70"/>
      <c r="F209" s="70"/>
      <c r="G209" s="70"/>
      <c r="H209" s="70"/>
      <c r="I209" s="70"/>
      <c r="J209" s="70"/>
      <c r="K209" s="197"/>
      <c r="L209" s="197"/>
      <c r="M209" s="70"/>
      <c r="N209" s="2"/>
      <c r="O209" s="2"/>
      <c r="P209" s="2"/>
      <c r="Q209" s="2"/>
      <c r="R209" s="2"/>
    </row>
    <row r="210" spans="1:18" ht="15">
      <c r="A210" s="71"/>
      <c r="B210" s="72"/>
      <c r="C210" s="73"/>
      <c r="D210" s="73"/>
      <c r="E210" s="73"/>
      <c r="F210" s="73"/>
      <c r="G210" s="73"/>
      <c r="H210" s="73"/>
      <c r="I210" s="73"/>
      <c r="J210" s="73"/>
      <c r="K210" s="191"/>
      <c r="L210" s="191"/>
      <c r="M210" s="74"/>
      <c r="N210" s="2"/>
      <c r="O210" s="2"/>
      <c r="P210" s="2"/>
      <c r="Q210" s="2"/>
      <c r="R210" s="2"/>
    </row>
    <row r="211" spans="1:18" ht="15">
      <c r="A211" s="2"/>
      <c r="B211" s="72"/>
      <c r="C211" s="73"/>
      <c r="D211" s="73"/>
      <c r="E211" s="73"/>
      <c r="F211" s="73"/>
      <c r="G211" s="73"/>
      <c r="H211" s="73"/>
      <c r="I211" s="73"/>
      <c r="J211" s="73"/>
      <c r="K211" s="191"/>
      <c r="L211" s="191"/>
      <c r="M211" s="74"/>
      <c r="N211" s="2"/>
      <c r="O211" s="2"/>
      <c r="P211" s="2"/>
      <c r="Q211" s="2"/>
      <c r="R211" s="2"/>
    </row>
    <row r="212" spans="1:18" ht="15">
      <c r="A212" s="2"/>
      <c r="B212" s="72"/>
      <c r="C212" s="73"/>
      <c r="D212" s="73"/>
      <c r="E212" s="73"/>
      <c r="F212" s="73"/>
      <c r="G212" s="73"/>
      <c r="H212" s="73"/>
      <c r="I212" s="73"/>
      <c r="J212" s="73"/>
      <c r="K212" s="191"/>
      <c r="L212" s="191"/>
      <c r="M212" s="74"/>
      <c r="N212" s="2"/>
      <c r="O212" s="2"/>
      <c r="P212" s="2"/>
      <c r="Q212" s="2"/>
      <c r="R212" s="2"/>
    </row>
    <row r="213" spans="1:18" ht="15">
      <c r="A213" s="2"/>
      <c r="B213" s="72"/>
      <c r="C213" s="73"/>
      <c r="D213" s="73"/>
      <c r="E213" s="73"/>
      <c r="F213" s="73"/>
      <c r="G213" s="73"/>
      <c r="H213" s="73"/>
      <c r="I213" s="73"/>
      <c r="J213" s="73"/>
      <c r="K213" s="191"/>
      <c r="L213" s="191"/>
      <c r="M213" s="74"/>
      <c r="N213" s="2"/>
      <c r="O213" s="2"/>
      <c r="P213" s="2"/>
      <c r="Q213" s="2"/>
      <c r="R213" s="2"/>
    </row>
    <row r="214" spans="1:18" ht="15">
      <c r="A214" s="2"/>
      <c r="B214" s="72"/>
      <c r="C214" s="73"/>
      <c r="D214" s="73"/>
      <c r="E214" s="73"/>
      <c r="F214" s="73"/>
      <c r="G214" s="73"/>
      <c r="H214" s="73"/>
      <c r="I214" s="73"/>
      <c r="J214" s="73"/>
      <c r="K214" s="191"/>
      <c r="L214" s="191"/>
      <c r="M214" s="74"/>
      <c r="N214" s="2"/>
      <c r="O214" s="2"/>
      <c r="P214" s="2"/>
      <c r="Q214" s="2"/>
      <c r="R214" s="2"/>
    </row>
    <row r="215" spans="1:18" ht="15">
      <c r="A215" s="2"/>
      <c r="B215" s="72"/>
      <c r="C215" s="73"/>
      <c r="D215" s="73"/>
      <c r="E215" s="73"/>
      <c r="F215" s="73"/>
      <c r="G215" s="73"/>
      <c r="H215" s="73"/>
      <c r="I215" s="73"/>
      <c r="J215" s="73"/>
      <c r="K215" s="191"/>
      <c r="L215" s="191"/>
      <c r="M215" s="74"/>
      <c r="N215" s="2"/>
      <c r="O215" s="2"/>
      <c r="P215" s="2"/>
      <c r="Q215" s="2"/>
      <c r="R215" s="2"/>
    </row>
    <row r="216" spans="1:18" ht="15">
      <c r="A216" s="2"/>
      <c r="B216" s="72"/>
      <c r="C216" s="73"/>
      <c r="D216" s="73"/>
      <c r="E216" s="73"/>
      <c r="F216" s="73"/>
      <c r="G216" s="73"/>
      <c r="H216" s="73"/>
      <c r="I216" s="73"/>
      <c r="J216" s="73"/>
      <c r="K216" s="191"/>
      <c r="L216" s="191"/>
      <c r="M216" s="74"/>
      <c r="N216" s="2"/>
      <c r="O216" s="2"/>
      <c r="P216" s="2"/>
      <c r="Q216" s="2"/>
      <c r="R216" s="2"/>
    </row>
    <row r="217" spans="1:18" ht="15">
      <c r="A217" s="2"/>
      <c r="B217" s="72"/>
      <c r="C217" s="73"/>
      <c r="D217" s="73"/>
      <c r="E217" s="73"/>
      <c r="F217" s="73"/>
      <c r="G217" s="73"/>
      <c r="H217" s="73"/>
      <c r="I217" s="73"/>
      <c r="J217" s="73"/>
      <c r="K217" s="191"/>
      <c r="L217" s="191"/>
      <c r="M217" s="74"/>
      <c r="N217" s="2"/>
      <c r="O217" s="2"/>
      <c r="P217" s="2"/>
      <c r="Q217" s="2"/>
      <c r="R217" s="2"/>
    </row>
    <row r="218" spans="1:18" ht="15">
      <c r="A218" s="2"/>
      <c r="B218" s="72"/>
      <c r="C218" s="73"/>
      <c r="D218" s="73"/>
      <c r="E218" s="73"/>
      <c r="F218" s="73"/>
      <c r="G218" s="73"/>
      <c r="H218" s="73"/>
      <c r="I218" s="73"/>
      <c r="J218" s="73"/>
      <c r="K218" s="191"/>
      <c r="L218" s="191"/>
      <c r="M218" s="74"/>
      <c r="N218" s="2"/>
      <c r="O218" s="2"/>
      <c r="P218" s="2"/>
      <c r="Q218" s="2"/>
      <c r="R218" s="2"/>
    </row>
    <row r="219" spans="1:18" ht="15">
      <c r="A219" s="2"/>
      <c r="B219" s="72"/>
      <c r="C219" s="73"/>
      <c r="D219" s="73"/>
      <c r="E219" s="73"/>
      <c r="F219" s="73"/>
      <c r="G219" s="73"/>
      <c r="H219" s="73"/>
      <c r="I219" s="73"/>
      <c r="J219" s="73"/>
      <c r="K219" s="191"/>
      <c r="L219" s="191"/>
      <c r="M219" s="73"/>
      <c r="N219" s="2"/>
      <c r="O219" s="2"/>
      <c r="P219" s="2"/>
      <c r="Q219" s="2"/>
      <c r="R219" s="2"/>
    </row>
    <row r="220" spans="1:18" ht="15">
      <c r="A220" s="2"/>
      <c r="B220" s="72"/>
      <c r="C220" s="73"/>
      <c r="D220" s="73"/>
      <c r="E220" s="73"/>
      <c r="F220" s="73"/>
      <c r="G220" s="73"/>
      <c r="H220" s="73"/>
      <c r="I220" s="73"/>
      <c r="J220" s="73"/>
      <c r="K220" s="191"/>
      <c r="L220" s="191"/>
      <c r="M220" s="73"/>
      <c r="N220" s="2"/>
      <c r="O220" s="2"/>
      <c r="P220" s="2"/>
      <c r="Q220" s="2"/>
      <c r="R220" s="2"/>
    </row>
    <row r="221" spans="1:18" ht="15">
      <c r="A221" s="2"/>
      <c r="B221" s="69"/>
      <c r="C221" s="73"/>
      <c r="D221" s="73"/>
      <c r="E221" s="73"/>
      <c r="F221" s="73"/>
      <c r="G221" s="73"/>
      <c r="H221" s="73"/>
      <c r="I221" s="73"/>
      <c r="J221" s="73"/>
      <c r="K221" s="191"/>
      <c r="L221" s="191"/>
      <c r="M221" s="73"/>
      <c r="N221" s="2"/>
      <c r="O221" s="2"/>
      <c r="P221" s="2"/>
      <c r="Q221" s="2"/>
      <c r="R221" s="2"/>
    </row>
    <row r="222" spans="1:18" ht="15">
      <c r="A222" s="75"/>
      <c r="B222" s="69"/>
      <c r="C222" s="73"/>
      <c r="D222" s="73"/>
      <c r="E222" s="73"/>
      <c r="F222" s="73"/>
      <c r="G222" s="73"/>
      <c r="H222" s="73"/>
      <c r="I222" s="73"/>
      <c r="J222" s="73"/>
      <c r="K222" s="191"/>
      <c r="L222" s="191"/>
      <c r="M222" s="74"/>
      <c r="N222" s="2"/>
      <c r="O222" s="2"/>
      <c r="P222" s="2"/>
      <c r="Q222" s="2"/>
      <c r="R222" s="2"/>
    </row>
    <row r="223" spans="1:18" ht="15">
      <c r="A223" s="75"/>
      <c r="B223" s="69"/>
      <c r="C223" s="73"/>
      <c r="D223" s="73"/>
      <c r="E223" s="73"/>
      <c r="F223" s="73"/>
      <c r="G223" s="73"/>
      <c r="H223" s="73"/>
      <c r="I223" s="73"/>
      <c r="J223" s="73"/>
      <c r="K223" s="191"/>
      <c r="L223" s="191"/>
      <c r="M223" s="74"/>
      <c r="N223" s="2"/>
      <c r="O223" s="2"/>
      <c r="P223" s="2"/>
      <c r="Q223" s="2"/>
      <c r="R223" s="2"/>
    </row>
    <row r="224" spans="1:18" ht="15">
      <c r="A224" s="75"/>
      <c r="B224" s="69"/>
      <c r="C224" s="73"/>
      <c r="D224" s="73"/>
      <c r="E224" s="73"/>
      <c r="F224" s="73"/>
      <c r="G224" s="73"/>
      <c r="H224" s="73"/>
      <c r="I224" s="73"/>
      <c r="J224" s="73"/>
      <c r="K224" s="191"/>
      <c r="L224" s="191"/>
      <c r="M224" s="74"/>
      <c r="N224" s="2"/>
      <c r="O224" s="2"/>
      <c r="P224" s="2"/>
      <c r="Q224" s="2"/>
      <c r="R224" s="2"/>
    </row>
    <row r="225" spans="1:18" ht="15">
      <c r="A225" s="2"/>
      <c r="B225" s="69"/>
      <c r="C225" s="73"/>
      <c r="D225" s="73"/>
      <c r="E225" s="73"/>
      <c r="F225" s="73"/>
      <c r="G225" s="73"/>
      <c r="H225" s="73"/>
      <c r="I225" s="73"/>
      <c r="J225" s="73"/>
      <c r="K225" s="191"/>
      <c r="L225" s="191"/>
      <c r="M225" s="74"/>
      <c r="N225" s="2"/>
      <c r="O225" s="2"/>
      <c r="P225" s="2"/>
      <c r="Q225" s="2"/>
      <c r="R225" s="2"/>
    </row>
    <row r="226" spans="1:18" ht="15">
      <c r="A226" s="75"/>
      <c r="B226" s="72"/>
      <c r="C226" s="73"/>
      <c r="D226" s="73"/>
      <c r="E226" s="73"/>
      <c r="F226" s="73"/>
      <c r="G226" s="73"/>
      <c r="H226" s="73"/>
      <c r="I226" s="73"/>
      <c r="J226" s="73"/>
      <c r="K226" s="191"/>
      <c r="L226" s="191"/>
      <c r="M226" s="74"/>
      <c r="N226" s="2"/>
      <c r="O226" s="2"/>
      <c r="P226" s="2"/>
      <c r="Q226" s="2"/>
      <c r="R226" s="2"/>
    </row>
    <row r="227" spans="1:18" ht="15">
      <c r="A227" s="2"/>
      <c r="B227" s="72"/>
      <c r="C227" s="73"/>
      <c r="D227" s="73"/>
      <c r="E227" s="73"/>
      <c r="F227" s="73"/>
      <c r="G227" s="73"/>
      <c r="H227" s="73"/>
      <c r="I227" s="73"/>
      <c r="J227" s="73"/>
      <c r="K227" s="191"/>
      <c r="L227" s="191"/>
      <c r="M227" s="74"/>
      <c r="N227" s="2"/>
      <c r="O227" s="2"/>
      <c r="P227" s="2"/>
      <c r="Q227" s="2"/>
      <c r="R227" s="2"/>
    </row>
    <row r="228" spans="1:18" ht="15">
      <c r="A228" s="2"/>
      <c r="B228" s="72"/>
      <c r="C228" s="73"/>
      <c r="D228" s="73"/>
      <c r="E228" s="73"/>
      <c r="F228" s="73"/>
      <c r="G228" s="73"/>
      <c r="H228" s="73"/>
      <c r="I228" s="73"/>
      <c r="J228" s="73"/>
      <c r="K228" s="191"/>
      <c r="L228" s="191"/>
      <c r="M228" s="74"/>
      <c r="N228" s="2"/>
      <c r="O228" s="2"/>
      <c r="P228" s="2"/>
      <c r="Q228" s="2"/>
      <c r="R228" s="2"/>
    </row>
    <row r="229" spans="1:18" ht="15">
      <c r="A229" s="2"/>
      <c r="B229" s="76"/>
      <c r="C229" s="73"/>
      <c r="D229" s="73"/>
      <c r="E229" s="73"/>
      <c r="F229" s="73"/>
      <c r="G229" s="73"/>
      <c r="H229" s="73"/>
      <c r="I229" s="73"/>
      <c r="J229" s="73"/>
      <c r="K229" s="191"/>
      <c r="L229" s="191"/>
      <c r="M229" s="74"/>
      <c r="N229" s="2"/>
      <c r="O229" s="2"/>
      <c r="P229" s="2"/>
      <c r="Q229" s="2"/>
      <c r="R229" s="2"/>
    </row>
    <row r="230" spans="1:18" ht="15">
      <c r="A230" s="2"/>
      <c r="B230" s="76"/>
      <c r="C230" s="73"/>
      <c r="D230" s="73"/>
      <c r="E230" s="73"/>
      <c r="F230" s="73"/>
      <c r="G230" s="73"/>
      <c r="H230" s="73"/>
      <c r="I230" s="73"/>
      <c r="J230" s="73"/>
      <c r="K230" s="191"/>
      <c r="L230" s="191"/>
      <c r="M230" s="74"/>
      <c r="N230" s="2"/>
      <c r="O230" s="2"/>
      <c r="P230" s="2"/>
      <c r="Q230" s="2"/>
      <c r="R230" s="2"/>
    </row>
    <row r="231" spans="1:18" ht="15">
      <c r="A231" s="2"/>
      <c r="B231" s="76"/>
      <c r="C231" s="73"/>
      <c r="D231" s="73"/>
      <c r="E231" s="73"/>
      <c r="F231" s="73"/>
      <c r="G231" s="73"/>
      <c r="H231" s="73"/>
      <c r="I231" s="73"/>
      <c r="J231" s="73"/>
      <c r="K231" s="191"/>
      <c r="L231" s="191"/>
      <c r="M231" s="74"/>
      <c r="N231" s="2"/>
      <c r="O231" s="2"/>
      <c r="P231" s="2"/>
      <c r="Q231" s="2"/>
      <c r="R231" s="2"/>
    </row>
    <row r="232" spans="1:18" ht="15">
      <c r="A232" s="2"/>
      <c r="B232" s="76"/>
      <c r="C232" s="73"/>
      <c r="D232" s="73"/>
      <c r="E232" s="73"/>
      <c r="F232" s="73"/>
      <c r="G232" s="73"/>
      <c r="H232" s="73"/>
      <c r="I232" s="73"/>
      <c r="J232" s="73"/>
      <c r="K232" s="191"/>
      <c r="L232" s="191"/>
      <c r="M232" s="74"/>
      <c r="N232" s="2"/>
      <c r="O232" s="2"/>
      <c r="P232" s="2"/>
      <c r="Q232" s="2"/>
      <c r="R232" s="2"/>
    </row>
    <row r="233" spans="1:18" ht="15">
      <c r="A233" s="2"/>
      <c r="B233" s="76"/>
      <c r="C233" s="73"/>
      <c r="D233" s="73"/>
      <c r="E233" s="73"/>
      <c r="F233" s="73"/>
      <c r="G233" s="73"/>
      <c r="H233" s="73"/>
      <c r="I233" s="73"/>
      <c r="J233" s="73"/>
      <c r="K233" s="191"/>
      <c r="L233" s="191"/>
      <c r="M233" s="74"/>
      <c r="N233" s="2"/>
      <c r="O233" s="2"/>
      <c r="P233" s="2"/>
      <c r="Q233" s="2"/>
      <c r="R233" s="2"/>
    </row>
    <row r="234" spans="1:18" ht="15">
      <c r="A234" s="2"/>
      <c r="B234" s="76"/>
      <c r="C234" s="73"/>
      <c r="D234" s="73"/>
      <c r="E234" s="73"/>
      <c r="F234" s="73"/>
      <c r="G234" s="73"/>
      <c r="H234" s="73"/>
      <c r="I234" s="73"/>
      <c r="J234" s="73"/>
      <c r="K234" s="191"/>
      <c r="L234" s="191"/>
      <c r="M234" s="74"/>
      <c r="N234" s="2"/>
      <c r="O234" s="2"/>
      <c r="P234" s="2"/>
      <c r="Q234" s="2"/>
      <c r="R234" s="2"/>
    </row>
    <row r="235" spans="1:18" ht="15">
      <c r="A235" s="2"/>
      <c r="B235" s="76"/>
      <c r="C235" s="73"/>
      <c r="D235" s="73"/>
      <c r="E235" s="73"/>
      <c r="F235" s="73"/>
      <c r="G235" s="73"/>
      <c r="H235" s="73"/>
      <c r="I235" s="73"/>
      <c r="J235" s="73"/>
      <c r="K235" s="191"/>
      <c r="L235" s="191"/>
      <c r="M235" s="74"/>
      <c r="N235" s="2"/>
      <c r="O235" s="2"/>
      <c r="P235" s="2"/>
      <c r="Q235" s="2"/>
      <c r="R235" s="2"/>
    </row>
    <row r="236" spans="1:18" ht="15">
      <c r="A236" s="2"/>
      <c r="B236" s="76"/>
      <c r="C236" s="73"/>
      <c r="D236" s="73"/>
      <c r="E236" s="73"/>
      <c r="F236" s="73"/>
      <c r="G236" s="73"/>
      <c r="H236" s="73"/>
      <c r="I236" s="73"/>
      <c r="J236" s="73"/>
      <c r="K236" s="191"/>
      <c r="L236" s="191"/>
      <c r="M236" s="74"/>
      <c r="N236" s="2"/>
      <c r="O236" s="2"/>
      <c r="P236" s="2"/>
      <c r="Q236" s="2"/>
      <c r="R236" s="2"/>
    </row>
    <row r="237" spans="1:18" ht="15">
      <c r="A237" s="2"/>
      <c r="B237" s="76"/>
      <c r="C237" s="73"/>
      <c r="D237" s="73"/>
      <c r="E237" s="73"/>
      <c r="F237" s="73"/>
      <c r="G237" s="73"/>
      <c r="H237" s="73"/>
      <c r="I237" s="73"/>
      <c r="J237" s="73"/>
      <c r="K237" s="191"/>
      <c r="L237" s="191"/>
      <c r="M237" s="74"/>
      <c r="N237" s="2"/>
      <c r="O237" s="2"/>
      <c r="P237" s="2"/>
      <c r="Q237" s="2"/>
      <c r="R237" s="2"/>
    </row>
    <row r="238" spans="1:18" ht="15">
      <c r="A238" s="2"/>
      <c r="B238" s="2"/>
      <c r="C238" s="73"/>
      <c r="D238" s="73"/>
      <c r="E238" s="73"/>
      <c r="F238" s="73"/>
      <c r="G238" s="73"/>
      <c r="H238" s="73"/>
      <c r="I238" s="73"/>
      <c r="J238" s="73"/>
      <c r="K238" s="191"/>
      <c r="L238" s="191"/>
      <c r="M238" s="74"/>
      <c r="N238" s="2"/>
      <c r="O238" s="2"/>
      <c r="P238" s="2"/>
      <c r="Q238" s="2"/>
      <c r="R238" s="2"/>
    </row>
    <row r="239" spans="1:18" ht="15">
      <c r="A239" s="75"/>
      <c r="B239" s="2"/>
      <c r="C239" s="73"/>
      <c r="D239" s="73"/>
      <c r="E239" s="73"/>
      <c r="F239" s="73"/>
      <c r="G239" s="73"/>
      <c r="H239" s="73"/>
      <c r="I239" s="73"/>
      <c r="J239" s="73"/>
      <c r="K239" s="191"/>
      <c r="L239" s="191"/>
      <c r="M239" s="74"/>
      <c r="N239" s="2"/>
      <c r="O239" s="2"/>
      <c r="P239" s="2"/>
      <c r="Q239" s="2"/>
      <c r="R239" s="2"/>
    </row>
    <row r="240" spans="1:18" ht="15">
      <c r="A240" s="2"/>
      <c r="B240" s="2"/>
      <c r="C240" s="73"/>
      <c r="D240" s="73"/>
      <c r="E240" s="73"/>
      <c r="F240" s="73"/>
      <c r="G240" s="73"/>
      <c r="H240" s="73"/>
      <c r="I240" s="73"/>
      <c r="J240" s="73"/>
      <c r="K240" s="191"/>
      <c r="L240" s="191"/>
      <c r="M240" s="74"/>
      <c r="N240" s="2"/>
      <c r="O240" s="2"/>
      <c r="P240" s="2"/>
      <c r="Q240" s="2"/>
      <c r="R240" s="2"/>
    </row>
    <row r="241" spans="1:18" ht="15">
      <c r="A241" s="2"/>
      <c r="B241" s="2"/>
      <c r="C241" s="73"/>
      <c r="D241" s="73"/>
      <c r="E241" s="73"/>
      <c r="F241" s="73"/>
      <c r="G241" s="73"/>
      <c r="H241" s="73"/>
      <c r="I241" s="73"/>
      <c r="J241" s="73"/>
      <c r="K241" s="191"/>
      <c r="L241" s="191"/>
      <c r="M241" s="74"/>
      <c r="N241" s="2"/>
      <c r="O241" s="2"/>
      <c r="P241" s="2"/>
      <c r="Q241" s="2"/>
      <c r="R241" s="2"/>
    </row>
    <row r="242" spans="1:18" ht="15">
      <c r="A242" s="75"/>
      <c r="B242" s="2"/>
      <c r="C242" s="73"/>
      <c r="D242" s="73"/>
      <c r="E242" s="73"/>
      <c r="F242" s="73"/>
      <c r="G242" s="73"/>
      <c r="H242" s="73"/>
      <c r="I242" s="73"/>
      <c r="J242" s="73"/>
      <c r="K242" s="191"/>
      <c r="L242" s="191"/>
      <c r="M242" s="74"/>
      <c r="N242" s="2"/>
      <c r="O242" s="2"/>
      <c r="P242" s="2"/>
      <c r="Q242" s="2"/>
      <c r="R242" s="2"/>
    </row>
    <row r="243" spans="1:18" ht="15">
      <c r="A243" s="75"/>
      <c r="B243" s="2"/>
      <c r="C243" s="73"/>
      <c r="D243" s="73"/>
      <c r="E243" s="73"/>
      <c r="F243" s="73"/>
      <c r="G243" s="73"/>
      <c r="H243" s="73"/>
      <c r="I243" s="73"/>
      <c r="J243" s="73"/>
      <c r="K243" s="191"/>
      <c r="L243" s="191"/>
      <c r="M243" s="74"/>
      <c r="N243" s="2"/>
      <c r="O243" s="2"/>
      <c r="P243" s="2"/>
      <c r="Q243" s="2"/>
      <c r="R243" s="2"/>
    </row>
    <row r="244" spans="1:18" ht="15">
      <c r="A244" s="75"/>
      <c r="B244" s="76"/>
      <c r="C244" s="73"/>
      <c r="D244" s="73"/>
      <c r="E244" s="73"/>
      <c r="F244" s="73"/>
      <c r="G244" s="73"/>
      <c r="H244" s="73"/>
      <c r="I244" s="73"/>
      <c r="J244" s="73"/>
      <c r="K244" s="191"/>
      <c r="L244" s="191"/>
      <c r="M244" s="74"/>
      <c r="N244" s="2"/>
      <c r="O244" s="2"/>
      <c r="P244" s="2"/>
      <c r="Q244" s="2"/>
      <c r="R244" s="2"/>
    </row>
    <row r="245" spans="1:18" ht="15">
      <c r="A245" s="2"/>
      <c r="B245" s="76"/>
      <c r="C245" s="73"/>
      <c r="D245" s="73"/>
      <c r="E245" s="73"/>
      <c r="F245" s="73"/>
      <c r="G245" s="73"/>
      <c r="H245" s="73"/>
      <c r="I245" s="73"/>
      <c r="J245" s="73"/>
      <c r="K245" s="191"/>
      <c r="L245" s="191"/>
      <c r="M245" s="74"/>
      <c r="N245" s="2"/>
      <c r="O245" s="2"/>
      <c r="P245" s="2"/>
      <c r="Q245" s="2"/>
      <c r="R245" s="2"/>
    </row>
    <row r="246" spans="1:18" ht="15">
      <c r="A246" s="2"/>
      <c r="B246" s="76"/>
      <c r="C246" s="73"/>
      <c r="D246" s="73"/>
      <c r="E246" s="73"/>
      <c r="F246" s="73"/>
      <c r="G246" s="73"/>
      <c r="H246" s="73"/>
      <c r="I246" s="73"/>
      <c r="J246" s="73"/>
      <c r="K246" s="191"/>
      <c r="L246" s="191"/>
      <c r="M246" s="74"/>
      <c r="N246" s="2"/>
      <c r="O246" s="2"/>
      <c r="P246" s="2"/>
      <c r="Q246" s="2"/>
      <c r="R246" s="2"/>
    </row>
    <row r="247" spans="1:18" ht="15">
      <c r="A247" s="2"/>
      <c r="B247" s="76"/>
      <c r="C247" s="73"/>
      <c r="D247" s="73"/>
      <c r="E247" s="73"/>
      <c r="F247" s="73"/>
      <c r="G247" s="73"/>
      <c r="H247" s="73"/>
      <c r="I247" s="73"/>
      <c r="J247" s="73"/>
      <c r="K247" s="191"/>
      <c r="L247" s="191"/>
      <c r="M247" s="74"/>
      <c r="N247" s="2"/>
      <c r="O247" s="2"/>
      <c r="P247" s="2"/>
      <c r="Q247" s="2"/>
      <c r="R247" s="2"/>
    </row>
    <row r="248" spans="1:18" ht="15">
      <c r="A248" s="2"/>
      <c r="B248" s="76"/>
      <c r="C248" s="73"/>
      <c r="D248" s="73"/>
      <c r="E248" s="73"/>
      <c r="F248" s="73"/>
      <c r="G248" s="73"/>
      <c r="H248" s="73"/>
      <c r="I248" s="73"/>
      <c r="J248" s="73"/>
      <c r="K248" s="191"/>
      <c r="L248" s="191"/>
      <c r="M248" s="74"/>
      <c r="N248" s="2"/>
      <c r="O248" s="2"/>
      <c r="P248" s="2"/>
      <c r="Q248" s="2"/>
      <c r="R248" s="2"/>
    </row>
    <row r="249" spans="1:18" ht="15">
      <c r="A249" s="2"/>
      <c r="B249" s="76"/>
      <c r="C249" s="73"/>
      <c r="D249" s="73"/>
      <c r="E249" s="73"/>
      <c r="F249" s="73"/>
      <c r="G249" s="73"/>
      <c r="H249" s="73"/>
      <c r="I249" s="73"/>
      <c r="J249" s="73"/>
      <c r="K249" s="191"/>
      <c r="L249" s="191"/>
      <c r="M249" s="74"/>
      <c r="N249" s="2"/>
      <c r="O249" s="2"/>
      <c r="P249" s="2"/>
      <c r="Q249" s="2"/>
      <c r="R249" s="2"/>
    </row>
    <row r="250" spans="1:18" ht="15">
      <c r="A250" s="2"/>
      <c r="B250" s="76"/>
      <c r="C250" s="73"/>
      <c r="D250" s="73"/>
      <c r="E250" s="73"/>
      <c r="F250" s="73"/>
      <c r="G250" s="73"/>
      <c r="H250" s="73"/>
      <c r="I250" s="73"/>
      <c r="J250" s="73"/>
      <c r="K250" s="191"/>
      <c r="L250" s="191"/>
      <c r="M250" s="74"/>
      <c r="N250" s="2"/>
      <c r="O250" s="2"/>
      <c r="P250" s="2"/>
      <c r="Q250" s="2"/>
      <c r="R250" s="2"/>
    </row>
    <row r="251" spans="1:18" ht="15">
      <c r="A251" s="2"/>
      <c r="B251" s="76"/>
      <c r="C251" s="73"/>
      <c r="D251" s="73"/>
      <c r="E251" s="73"/>
      <c r="F251" s="73"/>
      <c r="G251" s="73"/>
      <c r="H251" s="73"/>
      <c r="I251" s="73"/>
      <c r="J251" s="73"/>
      <c r="K251" s="191"/>
      <c r="L251" s="191"/>
      <c r="M251" s="74"/>
      <c r="N251" s="2"/>
      <c r="O251" s="2"/>
      <c r="P251" s="2"/>
      <c r="Q251" s="2"/>
      <c r="R251" s="2"/>
    </row>
    <row r="252" spans="1:18" ht="15">
      <c r="A252" s="2"/>
      <c r="B252" s="76"/>
      <c r="C252" s="73"/>
      <c r="D252" s="73"/>
      <c r="E252" s="73"/>
      <c r="F252" s="73"/>
      <c r="G252" s="73"/>
      <c r="H252" s="73"/>
      <c r="I252" s="73"/>
      <c r="J252" s="73"/>
      <c r="K252" s="191"/>
      <c r="L252" s="191"/>
      <c r="M252" s="74"/>
      <c r="N252" s="2"/>
      <c r="O252" s="2"/>
      <c r="P252" s="2"/>
      <c r="Q252" s="2"/>
      <c r="R252" s="2"/>
    </row>
    <row r="253" spans="1:18" ht="15">
      <c r="A253" s="2"/>
      <c r="B253" s="76"/>
      <c r="C253" s="73"/>
      <c r="D253" s="73"/>
      <c r="E253" s="73"/>
      <c r="F253" s="73"/>
      <c r="G253" s="73"/>
      <c r="H253" s="73"/>
      <c r="I253" s="73"/>
      <c r="J253" s="73"/>
      <c r="K253" s="191"/>
      <c r="L253" s="191"/>
      <c r="M253" s="74"/>
      <c r="N253" s="2"/>
      <c r="O253" s="2"/>
      <c r="P253" s="2"/>
      <c r="Q253" s="2"/>
      <c r="R253" s="2"/>
    </row>
    <row r="254" spans="1:18" ht="15">
      <c r="A254" s="2"/>
      <c r="B254" s="76"/>
      <c r="C254" s="73"/>
      <c r="D254" s="73"/>
      <c r="E254" s="73"/>
      <c r="F254" s="73"/>
      <c r="G254" s="73"/>
      <c r="H254" s="73"/>
      <c r="I254" s="73"/>
      <c r="J254" s="73"/>
      <c r="K254" s="191"/>
      <c r="L254" s="191"/>
      <c r="M254" s="74"/>
      <c r="N254" s="2"/>
      <c r="O254" s="2"/>
      <c r="P254" s="2"/>
      <c r="Q254" s="2"/>
      <c r="R254" s="2"/>
    </row>
    <row r="255" spans="1:18" ht="15">
      <c r="A255" s="2"/>
      <c r="B255" s="76"/>
      <c r="C255" s="73"/>
      <c r="D255" s="73"/>
      <c r="E255" s="73"/>
      <c r="F255" s="73"/>
      <c r="G255" s="73"/>
      <c r="H255" s="73"/>
      <c r="I255" s="73"/>
      <c r="J255" s="73"/>
      <c r="K255" s="191"/>
      <c r="L255" s="191"/>
      <c r="M255" s="74"/>
      <c r="N255" s="2"/>
      <c r="O255" s="2"/>
      <c r="P255" s="2"/>
      <c r="Q255" s="2"/>
      <c r="R255" s="2"/>
    </row>
    <row r="256" spans="1:18" ht="15">
      <c r="A256" s="2"/>
      <c r="B256" s="2"/>
      <c r="C256" s="73"/>
      <c r="D256" s="73"/>
      <c r="E256" s="73"/>
      <c r="F256" s="73"/>
      <c r="G256" s="73"/>
      <c r="H256" s="73"/>
      <c r="I256" s="73"/>
      <c r="J256" s="73"/>
      <c r="K256" s="191"/>
      <c r="L256" s="191"/>
      <c r="M256" s="74"/>
      <c r="N256" s="2"/>
      <c r="O256" s="2"/>
      <c r="P256" s="2"/>
      <c r="Q256" s="2"/>
      <c r="R256" s="2"/>
    </row>
    <row r="257" spans="1:18" ht="15">
      <c r="A257" s="75"/>
      <c r="B257" s="2"/>
      <c r="C257" s="73"/>
      <c r="D257" s="73"/>
      <c r="E257" s="73"/>
      <c r="F257" s="73"/>
      <c r="G257" s="73"/>
      <c r="H257" s="73"/>
      <c r="I257" s="73"/>
      <c r="J257" s="73"/>
      <c r="K257" s="191"/>
      <c r="L257" s="191"/>
      <c r="M257" s="74"/>
      <c r="N257" s="2"/>
      <c r="O257" s="2"/>
      <c r="P257" s="2"/>
      <c r="Q257" s="2"/>
      <c r="R257" s="2"/>
    </row>
    <row r="258" spans="1:18" ht="15">
      <c r="A258" s="2"/>
      <c r="B258" s="2"/>
      <c r="C258" s="73"/>
      <c r="D258" s="73"/>
      <c r="E258" s="73"/>
      <c r="F258" s="73"/>
      <c r="G258" s="73"/>
      <c r="H258" s="73"/>
      <c r="I258" s="73"/>
      <c r="J258" s="73"/>
      <c r="K258" s="191"/>
      <c r="L258" s="191"/>
      <c r="M258" s="74"/>
      <c r="N258" s="2"/>
      <c r="O258" s="2"/>
      <c r="P258" s="2"/>
      <c r="Q258" s="2"/>
      <c r="R258" s="2"/>
    </row>
    <row r="259" spans="1:18" ht="15">
      <c r="A259" s="2"/>
      <c r="B259" s="2"/>
      <c r="C259" s="73"/>
      <c r="D259" s="73"/>
      <c r="E259" s="73"/>
      <c r="F259" s="73"/>
      <c r="G259" s="73"/>
      <c r="H259" s="73"/>
      <c r="I259" s="73"/>
      <c r="J259" s="73"/>
      <c r="K259" s="191"/>
      <c r="L259" s="191"/>
      <c r="M259" s="74"/>
      <c r="N259" s="2"/>
      <c r="O259" s="2"/>
      <c r="P259" s="2"/>
      <c r="Q259" s="2"/>
      <c r="R259" s="2"/>
    </row>
    <row r="260" spans="1:18" ht="15">
      <c r="A260" s="75"/>
      <c r="B260" s="76"/>
      <c r="C260" s="73"/>
      <c r="D260" s="73"/>
      <c r="E260" s="73"/>
      <c r="F260" s="73"/>
      <c r="G260" s="73"/>
      <c r="H260" s="73"/>
      <c r="I260" s="73"/>
      <c r="J260" s="73"/>
      <c r="K260" s="191"/>
      <c r="L260" s="191"/>
      <c r="M260" s="74"/>
      <c r="N260" s="2"/>
      <c r="O260" s="2"/>
      <c r="P260" s="2"/>
      <c r="Q260" s="2"/>
      <c r="R260" s="2"/>
    </row>
    <row r="261" spans="1:18" ht="15">
      <c r="A261" s="2"/>
      <c r="B261" s="76"/>
      <c r="C261" s="73"/>
      <c r="D261" s="73"/>
      <c r="E261" s="73"/>
      <c r="F261" s="73"/>
      <c r="G261" s="73"/>
      <c r="H261" s="73"/>
      <c r="I261" s="73"/>
      <c r="J261" s="73"/>
      <c r="K261" s="191"/>
      <c r="L261" s="191"/>
      <c r="M261" s="74"/>
      <c r="N261" s="2"/>
      <c r="O261" s="2"/>
      <c r="P261" s="2"/>
      <c r="Q261" s="2"/>
      <c r="R261" s="2"/>
    </row>
    <row r="262" spans="1:18" ht="15">
      <c r="A262" s="2"/>
      <c r="B262" s="76"/>
      <c r="C262" s="73"/>
      <c r="D262" s="73"/>
      <c r="E262" s="73"/>
      <c r="F262" s="73"/>
      <c r="G262" s="73"/>
      <c r="H262" s="73"/>
      <c r="I262" s="73"/>
      <c r="J262" s="73"/>
      <c r="K262" s="191"/>
      <c r="L262" s="191"/>
      <c r="M262" s="74"/>
      <c r="N262" s="2"/>
      <c r="O262" s="2"/>
      <c r="P262" s="2"/>
      <c r="Q262" s="2"/>
      <c r="R262" s="2"/>
    </row>
    <row r="263" spans="1:18" ht="15">
      <c r="A263" s="2"/>
      <c r="B263" s="2"/>
      <c r="C263" s="73"/>
      <c r="D263" s="73"/>
      <c r="E263" s="73"/>
      <c r="F263" s="73"/>
      <c r="G263" s="73"/>
      <c r="H263" s="73"/>
      <c r="I263" s="73"/>
      <c r="J263" s="73"/>
      <c r="K263" s="191"/>
      <c r="L263" s="191"/>
      <c r="M263" s="74"/>
      <c r="N263" s="2"/>
      <c r="O263" s="2"/>
      <c r="P263" s="2"/>
      <c r="Q263" s="2"/>
      <c r="R263" s="2"/>
    </row>
    <row r="264" spans="1:18" ht="15">
      <c r="A264" s="2"/>
      <c r="B264" s="2"/>
      <c r="C264" s="73"/>
      <c r="D264" s="73"/>
      <c r="E264" s="73"/>
      <c r="F264" s="73"/>
      <c r="G264" s="73"/>
      <c r="H264" s="73"/>
      <c r="I264" s="73"/>
      <c r="J264" s="73"/>
      <c r="K264" s="191"/>
      <c r="L264" s="191"/>
      <c r="M264" s="74"/>
      <c r="N264" s="2"/>
      <c r="O264" s="2"/>
      <c r="P264" s="2"/>
      <c r="Q264" s="2"/>
      <c r="R264" s="2"/>
    </row>
    <row r="265" spans="1:18" ht="15">
      <c r="A265" s="2"/>
      <c r="B265" s="2"/>
      <c r="C265" s="73"/>
      <c r="D265" s="73"/>
      <c r="E265" s="73"/>
      <c r="F265" s="73"/>
      <c r="G265" s="73"/>
      <c r="H265" s="73"/>
      <c r="I265" s="73"/>
      <c r="J265" s="73"/>
      <c r="K265" s="191"/>
      <c r="L265" s="191"/>
      <c r="M265" s="74"/>
      <c r="N265" s="2"/>
      <c r="O265" s="2"/>
      <c r="P265" s="2"/>
      <c r="Q265" s="2"/>
      <c r="R265" s="2"/>
    </row>
    <row r="266" spans="1:18" ht="15">
      <c r="A266" s="75"/>
      <c r="B266" s="2"/>
      <c r="C266" s="73"/>
      <c r="D266" s="73"/>
      <c r="E266" s="73"/>
      <c r="F266" s="73"/>
      <c r="G266" s="73"/>
      <c r="H266" s="73"/>
      <c r="I266" s="73"/>
      <c r="J266" s="73"/>
      <c r="K266" s="191"/>
      <c r="L266" s="191"/>
      <c r="M266" s="74"/>
      <c r="N266" s="2"/>
      <c r="O266" s="2"/>
      <c r="P266" s="2"/>
      <c r="Q266" s="2"/>
      <c r="R266" s="2"/>
    </row>
    <row r="267" spans="1:18" ht="15">
      <c r="A267" s="2"/>
      <c r="B267" s="2"/>
      <c r="C267" s="73"/>
      <c r="D267" s="73"/>
      <c r="E267" s="73"/>
      <c r="F267" s="73"/>
      <c r="G267" s="73"/>
      <c r="H267" s="73"/>
      <c r="I267" s="73"/>
      <c r="J267" s="73"/>
      <c r="K267" s="191"/>
      <c r="L267" s="191"/>
      <c r="M267" s="74"/>
      <c r="N267" s="2"/>
      <c r="O267" s="2"/>
      <c r="P267" s="2"/>
      <c r="Q267" s="2"/>
      <c r="R267" s="2"/>
    </row>
    <row r="268" spans="1:18" ht="15">
      <c r="A268" s="2"/>
      <c r="B268" s="2"/>
      <c r="C268" s="73"/>
      <c r="D268" s="73"/>
      <c r="E268" s="73"/>
      <c r="F268" s="73"/>
      <c r="G268" s="73"/>
      <c r="H268" s="73"/>
      <c r="I268" s="73"/>
      <c r="J268" s="73"/>
      <c r="K268" s="191"/>
      <c r="L268" s="191"/>
      <c r="M268" s="74"/>
      <c r="N268" s="2"/>
      <c r="O268" s="2"/>
      <c r="P268" s="2"/>
      <c r="Q268" s="2"/>
      <c r="R268" s="2"/>
    </row>
    <row r="269" spans="1:18" ht="15">
      <c r="A269" s="75"/>
      <c r="B269" s="75"/>
      <c r="C269" s="73"/>
      <c r="D269" s="73"/>
      <c r="E269" s="73"/>
      <c r="F269" s="73"/>
      <c r="G269" s="73"/>
      <c r="H269" s="73"/>
      <c r="I269" s="73"/>
      <c r="J269" s="73"/>
      <c r="K269" s="191"/>
      <c r="L269" s="191"/>
      <c r="M269" s="74"/>
      <c r="N269" s="2"/>
      <c r="O269" s="2"/>
      <c r="P269" s="2"/>
      <c r="Q269" s="2"/>
      <c r="R269" s="2"/>
    </row>
    <row r="270" spans="1:18" ht="15">
      <c r="A270" s="2"/>
      <c r="B270" s="2"/>
      <c r="C270" s="73"/>
      <c r="D270" s="73"/>
      <c r="E270" s="73"/>
      <c r="F270" s="73"/>
      <c r="G270" s="73"/>
      <c r="H270" s="73"/>
      <c r="I270" s="73"/>
      <c r="J270" s="73"/>
      <c r="K270" s="191"/>
      <c r="L270" s="191"/>
      <c r="M270" s="74"/>
      <c r="N270" s="2"/>
      <c r="O270" s="2"/>
      <c r="P270" s="2"/>
      <c r="Q270" s="2"/>
      <c r="R270" s="2"/>
    </row>
    <row r="271" spans="1:18" ht="15">
      <c r="A271" s="2"/>
      <c r="B271" s="2"/>
      <c r="C271" s="73"/>
      <c r="D271" s="73"/>
      <c r="E271" s="73"/>
      <c r="F271" s="73"/>
      <c r="G271" s="73"/>
      <c r="H271" s="73"/>
      <c r="I271" s="73"/>
      <c r="J271" s="73"/>
      <c r="K271" s="191"/>
      <c r="L271" s="191"/>
      <c r="M271" s="74"/>
      <c r="N271" s="2"/>
      <c r="O271" s="2"/>
      <c r="P271" s="2"/>
      <c r="Q271" s="2"/>
      <c r="R271" s="2"/>
    </row>
    <row r="272" spans="1:18" ht="15">
      <c r="A272" s="2"/>
      <c r="B272" s="2"/>
      <c r="C272" s="73"/>
      <c r="D272" s="73"/>
      <c r="E272" s="73"/>
      <c r="F272" s="73"/>
      <c r="G272" s="73"/>
      <c r="H272" s="73"/>
      <c r="I272" s="73"/>
      <c r="J272" s="73"/>
      <c r="K272" s="191"/>
      <c r="L272" s="191"/>
      <c r="M272" s="74"/>
      <c r="N272" s="2"/>
      <c r="O272" s="2"/>
      <c r="P272" s="2"/>
      <c r="Q272" s="2"/>
      <c r="R272" s="2"/>
    </row>
    <row r="273" spans="1:18" ht="15">
      <c r="A273" s="2"/>
      <c r="B273" s="2"/>
      <c r="C273" s="73"/>
      <c r="D273" s="73"/>
      <c r="E273" s="73"/>
      <c r="F273" s="73"/>
      <c r="G273" s="73"/>
      <c r="H273" s="73"/>
      <c r="I273" s="73"/>
      <c r="J273" s="73"/>
      <c r="K273" s="191"/>
      <c r="L273" s="191"/>
      <c r="M273" s="74"/>
      <c r="N273" s="2"/>
      <c r="O273" s="2"/>
      <c r="P273" s="2"/>
      <c r="Q273" s="2"/>
      <c r="R273" s="2"/>
    </row>
    <row r="274" spans="1:18" ht="15">
      <c r="A274" s="2"/>
      <c r="B274" s="2"/>
      <c r="C274" s="73"/>
      <c r="D274" s="73"/>
      <c r="E274" s="73"/>
      <c r="F274" s="73"/>
      <c r="G274" s="73"/>
      <c r="H274" s="73"/>
      <c r="I274" s="73"/>
      <c r="J274" s="73"/>
      <c r="K274" s="191"/>
      <c r="L274" s="191"/>
      <c r="M274" s="74"/>
      <c r="N274" s="2"/>
      <c r="O274" s="2"/>
      <c r="P274" s="2"/>
      <c r="Q274" s="2"/>
      <c r="R274" s="2"/>
    </row>
    <row r="275" spans="1:18" ht="15">
      <c r="A275" s="2"/>
      <c r="B275" s="2"/>
      <c r="C275" s="73"/>
      <c r="D275" s="73"/>
      <c r="E275" s="73"/>
      <c r="F275" s="73"/>
      <c r="G275" s="73"/>
      <c r="H275" s="73"/>
      <c r="I275" s="73"/>
      <c r="J275" s="73"/>
      <c r="K275" s="191"/>
      <c r="L275" s="191"/>
      <c r="M275" s="74"/>
      <c r="N275" s="2"/>
      <c r="O275" s="2"/>
      <c r="P275" s="2"/>
      <c r="Q275" s="2"/>
      <c r="R275" s="2"/>
    </row>
    <row r="276" spans="1:18" ht="15">
      <c r="A276" s="2"/>
      <c r="B276" s="2"/>
      <c r="C276" s="73"/>
      <c r="D276" s="73"/>
      <c r="E276" s="73"/>
      <c r="F276" s="73"/>
      <c r="G276" s="73"/>
      <c r="H276" s="73"/>
      <c r="I276" s="73"/>
      <c r="J276" s="73"/>
      <c r="K276" s="191"/>
      <c r="L276" s="191"/>
      <c r="M276" s="74"/>
      <c r="N276" s="2"/>
      <c r="O276" s="2"/>
      <c r="P276" s="2"/>
      <c r="Q276" s="2"/>
      <c r="R276" s="2"/>
    </row>
    <row r="277" spans="1:18" ht="15">
      <c r="A277" s="2"/>
      <c r="B277" s="2"/>
      <c r="C277" s="73"/>
      <c r="D277" s="73"/>
      <c r="E277" s="73"/>
      <c r="F277" s="73"/>
      <c r="G277" s="73"/>
      <c r="H277" s="73"/>
      <c r="I277" s="73"/>
      <c r="J277" s="73"/>
      <c r="K277" s="191"/>
      <c r="L277" s="191"/>
      <c r="M277" s="74"/>
      <c r="N277" s="2"/>
      <c r="O277" s="2"/>
      <c r="P277" s="2"/>
      <c r="Q277" s="2"/>
      <c r="R277" s="2"/>
    </row>
    <row r="278" spans="1:18" ht="15">
      <c r="A278" s="2"/>
      <c r="B278" s="2"/>
      <c r="C278" s="73"/>
      <c r="D278" s="73"/>
      <c r="E278" s="73"/>
      <c r="F278" s="73"/>
      <c r="G278" s="73"/>
      <c r="H278" s="73"/>
      <c r="I278" s="73"/>
      <c r="J278" s="73"/>
      <c r="K278" s="191"/>
      <c r="L278" s="191"/>
      <c r="M278" s="74"/>
      <c r="N278" s="2"/>
      <c r="O278" s="2"/>
      <c r="P278" s="2"/>
      <c r="Q278" s="2"/>
      <c r="R278" s="2"/>
    </row>
    <row r="279" spans="1:18" ht="15">
      <c r="A279" s="2"/>
      <c r="B279" s="2"/>
      <c r="C279" s="73"/>
      <c r="D279" s="73"/>
      <c r="E279" s="73"/>
      <c r="F279" s="73"/>
      <c r="G279" s="73"/>
      <c r="H279" s="73"/>
      <c r="I279" s="73"/>
      <c r="J279" s="73"/>
      <c r="K279" s="191"/>
      <c r="L279" s="191"/>
      <c r="M279" s="74"/>
      <c r="N279" s="2"/>
      <c r="O279" s="2"/>
      <c r="P279" s="2"/>
      <c r="Q279" s="2"/>
      <c r="R279" s="2"/>
    </row>
    <row r="280" spans="1:18" ht="15">
      <c r="A280" s="2"/>
      <c r="B280" s="2"/>
      <c r="C280" s="73"/>
      <c r="D280" s="73"/>
      <c r="E280" s="73"/>
      <c r="F280" s="73"/>
      <c r="G280" s="73"/>
      <c r="H280" s="73"/>
      <c r="I280" s="73"/>
      <c r="J280" s="73"/>
      <c r="K280" s="191"/>
      <c r="L280" s="191"/>
      <c r="M280" s="74"/>
      <c r="N280" s="2"/>
      <c r="O280" s="2"/>
      <c r="P280" s="2"/>
      <c r="Q280" s="2"/>
      <c r="R280" s="2"/>
    </row>
    <row r="281" spans="1:18" ht="15">
      <c r="A281" s="2"/>
      <c r="B281" s="2"/>
      <c r="C281" s="73"/>
      <c r="D281" s="73"/>
      <c r="E281" s="73"/>
      <c r="F281" s="73"/>
      <c r="G281" s="73"/>
      <c r="H281" s="73"/>
      <c r="I281" s="73"/>
      <c r="J281" s="73"/>
      <c r="K281" s="191"/>
      <c r="L281" s="191"/>
      <c r="M281" s="74"/>
      <c r="N281" s="2"/>
      <c r="O281" s="2"/>
      <c r="P281" s="2"/>
      <c r="Q281" s="2"/>
      <c r="R281" s="2"/>
    </row>
    <row r="282" spans="1:18" ht="15">
      <c r="A282" s="2"/>
      <c r="B282" s="2"/>
      <c r="C282" s="73"/>
      <c r="D282" s="73"/>
      <c r="E282" s="73"/>
      <c r="F282" s="73"/>
      <c r="G282" s="73"/>
      <c r="H282" s="73"/>
      <c r="I282" s="73"/>
      <c r="J282" s="73"/>
      <c r="K282" s="191"/>
      <c r="L282" s="191"/>
      <c r="M282" s="74"/>
      <c r="N282" s="2"/>
      <c r="O282" s="2"/>
      <c r="P282" s="2"/>
      <c r="Q282" s="2"/>
      <c r="R282" s="2"/>
    </row>
    <row r="283" spans="1:18" ht="15">
      <c r="A283" s="2"/>
      <c r="B283" s="2"/>
      <c r="C283" s="73"/>
      <c r="D283" s="73"/>
      <c r="E283" s="73"/>
      <c r="F283" s="73"/>
      <c r="G283" s="73"/>
      <c r="H283" s="73"/>
      <c r="I283" s="73"/>
      <c r="J283" s="73"/>
      <c r="K283" s="191"/>
      <c r="L283" s="191"/>
      <c r="M283" s="74"/>
      <c r="N283" s="2"/>
      <c r="O283" s="2"/>
      <c r="P283" s="2"/>
      <c r="Q283" s="2"/>
      <c r="R283" s="2"/>
    </row>
    <row r="284" spans="1:18" ht="15">
      <c r="A284" s="2"/>
      <c r="B284" s="2"/>
      <c r="C284" s="73"/>
      <c r="D284" s="73"/>
      <c r="E284" s="73"/>
      <c r="F284" s="73"/>
      <c r="G284" s="73"/>
      <c r="H284" s="73"/>
      <c r="I284" s="73"/>
      <c r="J284" s="73"/>
      <c r="K284" s="191"/>
      <c r="L284" s="191"/>
      <c r="M284" s="74"/>
      <c r="N284" s="2"/>
      <c r="O284" s="2"/>
      <c r="P284" s="2"/>
      <c r="Q284" s="2"/>
      <c r="R284" s="2"/>
    </row>
    <row r="285" spans="1:18" ht="15">
      <c r="A285" s="2"/>
      <c r="B285" s="2"/>
      <c r="C285" s="73"/>
      <c r="D285" s="73"/>
      <c r="E285" s="73"/>
      <c r="F285" s="73"/>
      <c r="G285" s="73"/>
      <c r="H285" s="73"/>
      <c r="I285" s="73"/>
      <c r="J285" s="73"/>
      <c r="K285" s="191"/>
      <c r="L285" s="191"/>
      <c r="M285" s="74"/>
      <c r="N285" s="2"/>
      <c r="O285" s="2"/>
      <c r="P285" s="2"/>
      <c r="Q285" s="2"/>
      <c r="R285" s="2"/>
    </row>
    <row r="286" spans="1:18" ht="15">
      <c r="A286" s="2"/>
      <c r="B286" s="2"/>
      <c r="C286" s="73"/>
      <c r="D286" s="73"/>
      <c r="E286" s="73"/>
      <c r="F286" s="73"/>
      <c r="G286" s="73"/>
      <c r="H286" s="73"/>
      <c r="I286" s="73"/>
      <c r="J286" s="73"/>
      <c r="K286" s="191"/>
      <c r="L286" s="191"/>
      <c r="M286" s="74"/>
      <c r="N286" s="2"/>
      <c r="O286" s="2"/>
      <c r="P286" s="2"/>
      <c r="Q286" s="2"/>
      <c r="R286" s="2"/>
    </row>
    <row r="287" spans="1:18" ht="15">
      <c r="A287" s="2"/>
      <c r="B287" s="2"/>
      <c r="C287" s="73"/>
      <c r="D287" s="73"/>
      <c r="E287" s="73"/>
      <c r="F287" s="73"/>
      <c r="G287" s="73"/>
      <c r="H287" s="73"/>
      <c r="I287" s="73"/>
      <c r="J287" s="73"/>
      <c r="K287" s="191"/>
      <c r="L287" s="191"/>
      <c r="M287" s="74"/>
      <c r="N287" s="2"/>
      <c r="O287" s="2"/>
      <c r="P287" s="2"/>
      <c r="Q287" s="2"/>
      <c r="R287" s="2"/>
    </row>
    <row r="288" spans="1:18" ht="15">
      <c r="A288" s="2"/>
      <c r="B288" s="2"/>
      <c r="C288" s="73"/>
      <c r="D288" s="73"/>
      <c r="E288" s="73"/>
      <c r="F288" s="73"/>
      <c r="G288" s="73"/>
      <c r="H288" s="73"/>
      <c r="I288" s="73"/>
      <c r="J288" s="73"/>
      <c r="K288" s="191"/>
      <c r="L288" s="191"/>
      <c r="M288" s="74"/>
      <c r="N288" s="2"/>
      <c r="O288" s="2"/>
      <c r="P288" s="2"/>
      <c r="Q288" s="2"/>
      <c r="R288" s="2"/>
    </row>
    <row r="289" spans="1:18" ht="15">
      <c r="A289" s="2"/>
      <c r="B289" s="2"/>
      <c r="C289" s="73"/>
      <c r="D289" s="73"/>
      <c r="E289" s="73"/>
      <c r="F289" s="73"/>
      <c r="G289" s="73"/>
      <c r="H289" s="73"/>
      <c r="I289" s="73"/>
      <c r="J289" s="73"/>
      <c r="K289" s="191"/>
      <c r="L289" s="191"/>
      <c r="M289" s="74"/>
      <c r="N289" s="2"/>
      <c r="O289" s="2"/>
      <c r="P289" s="2"/>
      <c r="Q289" s="2"/>
      <c r="R289" s="2"/>
    </row>
    <row r="290" spans="1:18" ht="15">
      <c r="A290" s="2"/>
      <c r="B290" s="2"/>
      <c r="C290" s="73"/>
      <c r="D290" s="73"/>
      <c r="E290" s="73"/>
      <c r="F290" s="73"/>
      <c r="G290" s="73"/>
      <c r="H290" s="73"/>
      <c r="I290" s="73"/>
      <c r="J290" s="73"/>
      <c r="K290" s="191"/>
      <c r="L290" s="191"/>
      <c r="M290" s="74"/>
      <c r="N290" s="2"/>
      <c r="O290" s="2"/>
      <c r="P290" s="2"/>
      <c r="Q290" s="2"/>
      <c r="R290" s="2"/>
    </row>
    <row r="291" spans="1:18" ht="15">
      <c r="A291" s="2"/>
      <c r="B291" s="2"/>
      <c r="C291" s="73"/>
      <c r="D291" s="73"/>
      <c r="E291" s="73"/>
      <c r="F291" s="73"/>
      <c r="G291" s="73"/>
      <c r="H291" s="73"/>
      <c r="I291" s="73"/>
      <c r="J291" s="73"/>
      <c r="K291" s="191"/>
      <c r="L291" s="191"/>
      <c r="M291" s="74"/>
      <c r="N291" s="2"/>
      <c r="O291" s="2"/>
      <c r="P291" s="2"/>
      <c r="Q291" s="2"/>
      <c r="R291" s="2"/>
    </row>
    <row r="292" spans="1:18" ht="15">
      <c r="A292" s="2"/>
      <c r="B292" s="2"/>
      <c r="C292" s="73"/>
      <c r="D292" s="73"/>
      <c r="E292" s="73"/>
      <c r="F292" s="73"/>
      <c r="G292" s="73"/>
      <c r="H292" s="73"/>
      <c r="I292" s="73"/>
      <c r="J292" s="73"/>
      <c r="K292" s="191"/>
      <c r="L292" s="191"/>
      <c r="M292" s="74"/>
      <c r="N292" s="2"/>
      <c r="O292" s="2"/>
      <c r="P292" s="2"/>
      <c r="Q292" s="2"/>
      <c r="R292" s="2"/>
    </row>
    <row r="293" spans="1:18" ht="15">
      <c r="A293" s="2"/>
      <c r="B293" s="2"/>
      <c r="C293" s="73"/>
      <c r="D293" s="73"/>
      <c r="E293" s="73"/>
      <c r="F293" s="73"/>
      <c r="G293" s="73"/>
      <c r="H293" s="73"/>
      <c r="I293" s="73"/>
      <c r="J293" s="73"/>
      <c r="K293" s="191"/>
      <c r="L293" s="191"/>
      <c r="M293" s="74"/>
      <c r="N293" s="2"/>
      <c r="O293" s="2"/>
      <c r="P293" s="2"/>
      <c r="Q293" s="2"/>
      <c r="R293" s="2"/>
    </row>
    <row r="294" spans="1:18" ht="15">
      <c r="A294" s="2"/>
      <c r="B294" s="2"/>
      <c r="C294" s="73"/>
      <c r="D294" s="73"/>
      <c r="E294" s="73"/>
      <c r="F294" s="73"/>
      <c r="G294" s="73"/>
      <c r="H294" s="73"/>
      <c r="I294" s="73"/>
      <c r="J294" s="73"/>
      <c r="K294" s="191"/>
      <c r="L294" s="191"/>
      <c r="M294" s="74"/>
      <c r="N294" s="2"/>
      <c r="O294" s="2"/>
      <c r="P294" s="2"/>
      <c r="Q294" s="2"/>
      <c r="R294" s="2"/>
    </row>
    <row r="295" spans="1:18" ht="15">
      <c r="A295" s="2"/>
      <c r="B295" s="2"/>
      <c r="C295" s="73"/>
      <c r="D295" s="73"/>
      <c r="E295" s="73"/>
      <c r="F295" s="73"/>
      <c r="G295" s="73"/>
      <c r="H295" s="73"/>
      <c r="I295" s="73"/>
      <c r="J295" s="73"/>
      <c r="K295" s="191"/>
      <c r="L295" s="191"/>
      <c r="M295" s="74"/>
      <c r="N295" s="2"/>
      <c r="O295" s="2"/>
      <c r="P295" s="2"/>
      <c r="Q295" s="2"/>
      <c r="R295" s="2"/>
    </row>
    <row r="296" spans="1:18" ht="15">
      <c r="A296" s="2"/>
      <c r="B296" s="2"/>
      <c r="C296" s="73"/>
      <c r="D296" s="73"/>
      <c r="E296" s="73"/>
      <c r="F296" s="73"/>
      <c r="G296" s="73"/>
      <c r="H296" s="73"/>
      <c r="I296" s="73"/>
      <c r="J296" s="73"/>
      <c r="K296" s="191"/>
      <c r="L296" s="191"/>
      <c r="M296" s="74"/>
      <c r="N296" s="2"/>
      <c r="O296" s="2"/>
      <c r="P296" s="2"/>
      <c r="Q296" s="2"/>
      <c r="R296" s="2"/>
    </row>
    <row r="297" spans="1:18" ht="15">
      <c r="A297" s="2"/>
      <c r="B297" s="2"/>
      <c r="C297" s="73"/>
      <c r="D297" s="73"/>
      <c r="E297" s="73"/>
      <c r="F297" s="73"/>
      <c r="G297" s="73"/>
      <c r="H297" s="73"/>
      <c r="I297" s="73"/>
      <c r="J297" s="73"/>
      <c r="K297" s="191"/>
      <c r="L297" s="191"/>
      <c r="M297" s="74"/>
      <c r="N297" s="2"/>
      <c r="O297" s="2"/>
      <c r="P297" s="2"/>
      <c r="Q297" s="2"/>
      <c r="R297" s="2"/>
    </row>
    <row r="298" spans="1:18" ht="15">
      <c r="A298" s="2"/>
      <c r="B298" s="2"/>
      <c r="C298" s="73"/>
      <c r="D298" s="73"/>
      <c r="E298" s="73"/>
      <c r="F298" s="73"/>
      <c r="G298" s="73"/>
      <c r="H298" s="73"/>
      <c r="I298" s="73"/>
      <c r="J298" s="73"/>
      <c r="K298" s="191"/>
      <c r="L298" s="191"/>
      <c r="M298" s="74"/>
      <c r="N298" s="2"/>
      <c r="O298" s="2"/>
      <c r="P298" s="2"/>
      <c r="Q298" s="2"/>
      <c r="R298" s="2"/>
    </row>
    <row r="299" spans="1:18" ht="15">
      <c r="A299" s="2"/>
      <c r="B299" s="2"/>
      <c r="C299" s="73"/>
      <c r="D299" s="73"/>
      <c r="E299" s="73"/>
      <c r="F299" s="73"/>
      <c r="G299" s="73"/>
      <c r="H299" s="73"/>
      <c r="I299" s="73"/>
      <c r="J299" s="73"/>
      <c r="K299" s="191"/>
      <c r="L299" s="191"/>
      <c r="M299" s="74"/>
      <c r="N299" s="2"/>
      <c r="O299" s="2"/>
      <c r="P299" s="2"/>
      <c r="Q299" s="2"/>
      <c r="R299" s="2"/>
    </row>
    <row r="300" spans="1:18" ht="15">
      <c r="A300" s="2"/>
      <c r="B300" s="2"/>
      <c r="C300" s="73"/>
      <c r="D300" s="73"/>
      <c r="E300" s="73"/>
      <c r="F300" s="73"/>
      <c r="G300" s="73"/>
      <c r="H300" s="73"/>
      <c r="I300" s="73"/>
      <c r="J300" s="73"/>
      <c r="K300" s="191"/>
      <c r="L300" s="191"/>
      <c r="M300" s="74"/>
      <c r="N300" s="2"/>
      <c r="O300" s="2"/>
      <c r="P300" s="2"/>
      <c r="Q300" s="2"/>
      <c r="R300" s="2"/>
    </row>
    <row r="301" spans="1:18" ht="15">
      <c r="A301" s="2"/>
      <c r="B301" s="2"/>
      <c r="C301" s="73"/>
      <c r="D301" s="73"/>
      <c r="E301" s="73"/>
      <c r="F301" s="73"/>
      <c r="G301" s="73"/>
      <c r="H301" s="73"/>
      <c r="I301" s="73"/>
      <c r="J301" s="73"/>
      <c r="K301" s="191"/>
      <c r="L301" s="191"/>
      <c r="M301" s="74"/>
      <c r="N301" s="2"/>
      <c r="O301" s="2"/>
      <c r="P301" s="2"/>
      <c r="Q301" s="2"/>
      <c r="R301" s="2"/>
    </row>
    <row r="302" spans="1:18" ht="15">
      <c r="A302" s="2"/>
      <c r="B302" s="2"/>
      <c r="C302" s="73"/>
      <c r="D302" s="73"/>
      <c r="E302" s="73"/>
      <c r="F302" s="73"/>
      <c r="G302" s="73"/>
      <c r="H302" s="73"/>
      <c r="I302" s="73"/>
      <c r="J302" s="73"/>
      <c r="K302" s="191"/>
      <c r="L302" s="191"/>
      <c r="M302" s="74"/>
      <c r="N302" s="2"/>
      <c r="O302" s="2"/>
      <c r="P302" s="2"/>
      <c r="Q302" s="2"/>
      <c r="R302" s="2"/>
    </row>
    <row r="303" spans="1:18" ht="15">
      <c r="A303" s="2"/>
      <c r="B303" s="2"/>
      <c r="C303" s="73"/>
      <c r="D303" s="73"/>
      <c r="E303" s="73"/>
      <c r="F303" s="73"/>
      <c r="G303" s="73"/>
      <c r="H303" s="73"/>
      <c r="I303" s="73"/>
      <c r="J303" s="73"/>
      <c r="K303" s="191"/>
      <c r="L303" s="191"/>
      <c r="M303" s="74"/>
      <c r="N303" s="2"/>
      <c r="O303" s="2"/>
      <c r="P303" s="2"/>
      <c r="Q303" s="2"/>
      <c r="R303" s="2"/>
    </row>
    <row r="304" spans="1:18" ht="15">
      <c r="A304" s="2"/>
      <c r="B304" s="2"/>
      <c r="C304" s="73"/>
      <c r="D304" s="73"/>
      <c r="E304" s="73"/>
      <c r="F304" s="73"/>
      <c r="G304" s="73"/>
      <c r="H304" s="73"/>
      <c r="I304" s="73"/>
      <c r="J304" s="73"/>
      <c r="K304" s="191"/>
      <c r="L304" s="191"/>
      <c r="M304" s="74"/>
      <c r="N304" s="2"/>
      <c r="O304" s="2"/>
      <c r="P304" s="2"/>
      <c r="Q304" s="2"/>
      <c r="R304" s="2"/>
    </row>
    <row r="305" spans="1:18" ht="15">
      <c r="A305" s="2"/>
      <c r="B305" s="2"/>
      <c r="C305" s="73"/>
      <c r="D305" s="73"/>
      <c r="E305" s="73"/>
      <c r="F305" s="73"/>
      <c r="G305" s="73"/>
      <c r="H305" s="73"/>
      <c r="I305" s="73"/>
      <c r="J305" s="73"/>
      <c r="K305" s="191"/>
      <c r="L305" s="191"/>
      <c r="M305" s="74"/>
      <c r="N305" s="2"/>
      <c r="O305" s="2"/>
      <c r="P305" s="2"/>
      <c r="Q305" s="2"/>
      <c r="R305" s="2"/>
    </row>
    <row r="306" spans="1:18" ht="15">
      <c r="A306" s="2"/>
      <c r="B306" s="2"/>
      <c r="C306" s="73"/>
      <c r="D306" s="73"/>
      <c r="E306" s="73"/>
      <c r="F306" s="73"/>
      <c r="G306" s="73"/>
      <c r="H306" s="73"/>
      <c r="I306" s="73"/>
      <c r="J306" s="73"/>
      <c r="K306" s="191"/>
      <c r="L306" s="191"/>
      <c r="M306" s="74"/>
      <c r="N306" s="2"/>
      <c r="O306" s="2"/>
      <c r="P306" s="2"/>
      <c r="Q306" s="2"/>
      <c r="R306" s="2"/>
    </row>
    <row r="307" spans="1:18" ht="15">
      <c r="A307" s="2"/>
      <c r="B307" s="2"/>
      <c r="C307" s="73"/>
      <c r="D307" s="73"/>
      <c r="E307" s="73"/>
      <c r="F307" s="73"/>
      <c r="G307" s="73"/>
      <c r="H307" s="73"/>
      <c r="I307" s="73"/>
      <c r="J307" s="73"/>
      <c r="K307" s="191"/>
      <c r="L307" s="191"/>
      <c r="M307" s="74"/>
      <c r="N307" s="2"/>
      <c r="O307" s="2"/>
      <c r="P307" s="2"/>
      <c r="Q307" s="2"/>
      <c r="R307" s="2"/>
    </row>
    <row r="308" spans="1:18" ht="15">
      <c r="A308" s="2"/>
      <c r="B308" s="2"/>
      <c r="C308" s="73"/>
      <c r="D308" s="73"/>
      <c r="E308" s="73"/>
      <c r="F308" s="73"/>
      <c r="G308" s="73"/>
      <c r="H308" s="73"/>
      <c r="I308" s="73"/>
      <c r="J308" s="73"/>
      <c r="K308" s="191"/>
      <c r="L308" s="191"/>
      <c r="M308" s="74"/>
      <c r="N308" s="2"/>
      <c r="O308" s="2"/>
      <c r="P308" s="2"/>
      <c r="Q308" s="2"/>
      <c r="R308" s="2"/>
    </row>
    <row r="309" spans="1:18" ht="15">
      <c r="A309" s="2"/>
      <c r="B309" s="2"/>
      <c r="C309" s="73"/>
      <c r="D309" s="73"/>
      <c r="E309" s="73"/>
      <c r="F309" s="73"/>
      <c r="G309" s="73"/>
      <c r="H309" s="73"/>
      <c r="I309" s="73"/>
      <c r="J309" s="73"/>
      <c r="K309" s="191"/>
      <c r="L309" s="191"/>
      <c r="M309" s="74"/>
      <c r="N309" s="2"/>
      <c r="O309" s="2"/>
      <c r="P309" s="2"/>
      <c r="Q309" s="2"/>
      <c r="R309" s="2"/>
    </row>
    <row r="310" spans="1:18" ht="15">
      <c r="A310" s="2"/>
      <c r="B310" s="2"/>
      <c r="C310" s="73"/>
      <c r="D310" s="73"/>
      <c r="E310" s="73"/>
      <c r="F310" s="73"/>
      <c r="G310" s="73"/>
      <c r="H310" s="73"/>
      <c r="I310" s="73"/>
      <c r="J310" s="73"/>
      <c r="K310" s="191"/>
      <c r="L310" s="191"/>
      <c r="M310" s="74"/>
      <c r="N310" s="2"/>
      <c r="O310" s="2"/>
      <c r="P310" s="2"/>
      <c r="Q310" s="2"/>
      <c r="R310" s="2"/>
    </row>
    <row r="311" spans="1:18" ht="15">
      <c r="A311" s="2"/>
      <c r="B311" s="2"/>
      <c r="C311" s="73"/>
      <c r="D311" s="73"/>
      <c r="E311" s="73"/>
      <c r="F311" s="73"/>
      <c r="G311" s="73"/>
      <c r="H311" s="73"/>
      <c r="I311" s="73"/>
      <c r="J311" s="73"/>
      <c r="K311" s="191"/>
      <c r="L311" s="191"/>
      <c r="M311" s="74"/>
      <c r="N311" s="2"/>
      <c r="O311" s="2"/>
      <c r="P311" s="2"/>
      <c r="Q311" s="2"/>
      <c r="R311" s="2"/>
    </row>
    <row r="312" spans="1:18" ht="15">
      <c r="A312" s="2"/>
      <c r="B312" s="2"/>
      <c r="C312" s="73"/>
      <c r="D312" s="73"/>
      <c r="E312" s="73"/>
      <c r="F312" s="73"/>
      <c r="G312" s="73"/>
      <c r="H312" s="73"/>
      <c r="I312" s="73"/>
      <c r="J312" s="73"/>
      <c r="K312" s="191"/>
      <c r="L312" s="191"/>
      <c r="M312" s="74"/>
      <c r="N312" s="2"/>
      <c r="O312" s="2"/>
      <c r="P312" s="2"/>
      <c r="Q312" s="2"/>
      <c r="R312" s="2"/>
    </row>
    <row r="313" spans="1:18" ht="15">
      <c r="A313" s="2"/>
      <c r="B313" s="2"/>
      <c r="C313" s="73"/>
      <c r="D313" s="73"/>
      <c r="E313" s="73"/>
      <c r="F313" s="73"/>
      <c r="G313" s="73"/>
      <c r="H313" s="73"/>
      <c r="I313" s="73"/>
      <c r="J313" s="73"/>
      <c r="K313" s="191"/>
      <c r="L313" s="191"/>
      <c r="M313" s="74"/>
      <c r="N313" s="2"/>
      <c r="O313" s="2"/>
      <c r="P313" s="2"/>
      <c r="Q313" s="2"/>
      <c r="R313" s="2"/>
    </row>
    <row r="314" spans="1:18" ht="15">
      <c r="A314" s="2"/>
      <c r="B314" s="2"/>
      <c r="C314" s="73"/>
      <c r="D314" s="73"/>
      <c r="E314" s="73"/>
      <c r="F314" s="73"/>
      <c r="G314" s="73"/>
      <c r="H314" s="73"/>
      <c r="I314" s="73"/>
      <c r="J314" s="73"/>
      <c r="K314" s="191"/>
      <c r="L314" s="191"/>
      <c r="M314" s="74"/>
      <c r="N314" s="2"/>
      <c r="O314" s="2"/>
      <c r="P314" s="2"/>
      <c r="Q314" s="2"/>
      <c r="R314" s="2"/>
    </row>
    <row r="315" spans="1:18" ht="15">
      <c r="A315" s="2"/>
      <c r="B315" s="2"/>
      <c r="C315" s="73"/>
      <c r="D315" s="73"/>
      <c r="E315" s="73"/>
      <c r="F315" s="73"/>
      <c r="G315" s="73"/>
      <c r="H315" s="73"/>
      <c r="I315" s="73"/>
      <c r="J315" s="73"/>
      <c r="K315" s="191"/>
      <c r="L315" s="191"/>
      <c r="M315" s="74"/>
      <c r="N315" s="2"/>
      <c r="O315" s="2"/>
      <c r="P315" s="2"/>
      <c r="Q315" s="2"/>
      <c r="R315" s="2"/>
    </row>
    <row r="316" spans="1:18" ht="15">
      <c r="A316" s="2"/>
      <c r="B316" s="2"/>
      <c r="C316" s="73"/>
      <c r="D316" s="73"/>
      <c r="E316" s="73"/>
      <c r="F316" s="73"/>
      <c r="G316" s="73"/>
      <c r="H316" s="73"/>
      <c r="I316" s="73"/>
      <c r="J316" s="73"/>
      <c r="K316" s="191"/>
      <c r="L316" s="191"/>
      <c r="M316" s="74"/>
      <c r="N316" s="2"/>
      <c r="O316" s="2"/>
      <c r="P316" s="2"/>
      <c r="Q316" s="2"/>
      <c r="R316" s="2"/>
    </row>
    <row r="317" spans="1:18" ht="15">
      <c r="A317" s="2"/>
      <c r="B317" s="2"/>
      <c r="C317" s="73"/>
      <c r="D317" s="73"/>
      <c r="E317" s="73"/>
      <c r="F317" s="73"/>
      <c r="G317" s="73"/>
      <c r="H317" s="73"/>
      <c r="I317" s="73"/>
      <c r="J317" s="73"/>
      <c r="K317" s="191"/>
      <c r="L317" s="191"/>
      <c r="M317" s="74"/>
      <c r="N317" s="2"/>
      <c r="O317" s="2"/>
      <c r="P317" s="2"/>
      <c r="Q317" s="2"/>
      <c r="R317" s="2"/>
    </row>
    <row r="318" spans="1:18" ht="15">
      <c r="A318" s="2"/>
      <c r="B318" s="2"/>
      <c r="C318" s="73"/>
      <c r="D318" s="73"/>
      <c r="E318" s="73"/>
      <c r="F318" s="73"/>
      <c r="G318" s="73"/>
      <c r="H318" s="73"/>
      <c r="I318" s="73"/>
      <c r="J318" s="73"/>
      <c r="K318" s="191"/>
      <c r="L318" s="191"/>
      <c r="M318" s="74"/>
      <c r="N318" s="2"/>
      <c r="O318" s="2"/>
      <c r="P318" s="2"/>
      <c r="Q318" s="2"/>
      <c r="R318" s="2"/>
    </row>
    <row r="319" spans="1:18" ht="15">
      <c r="A319" s="2"/>
      <c r="B319" s="2"/>
      <c r="C319" s="73"/>
      <c r="D319" s="73"/>
      <c r="E319" s="73"/>
      <c r="F319" s="73"/>
      <c r="G319" s="73"/>
      <c r="H319" s="73"/>
      <c r="I319" s="73"/>
      <c r="J319" s="73"/>
      <c r="K319" s="191"/>
      <c r="L319" s="191"/>
      <c r="M319" s="74"/>
      <c r="N319" s="2"/>
      <c r="O319" s="2"/>
      <c r="P319" s="2"/>
      <c r="Q319" s="2"/>
      <c r="R319" s="2"/>
    </row>
    <row r="320" spans="1:18" ht="15">
      <c r="A320" s="2"/>
      <c r="B320" s="2"/>
      <c r="C320" s="73"/>
      <c r="D320" s="73"/>
      <c r="E320" s="73"/>
      <c r="F320" s="73"/>
      <c r="G320" s="73"/>
      <c r="H320" s="73"/>
      <c r="I320" s="73"/>
      <c r="J320" s="73"/>
      <c r="K320" s="191"/>
      <c r="L320" s="191"/>
      <c r="M320" s="74"/>
      <c r="N320" s="2"/>
      <c r="O320" s="2"/>
      <c r="P320" s="2"/>
      <c r="Q320" s="2"/>
      <c r="R320" s="2"/>
    </row>
    <row r="321" spans="1:18" ht="15">
      <c r="A321" s="2"/>
      <c r="B321" s="2"/>
      <c r="C321" s="73"/>
      <c r="D321" s="73"/>
      <c r="E321" s="73"/>
      <c r="F321" s="73"/>
      <c r="G321" s="73"/>
      <c r="H321" s="73"/>
      <c r="I321" s="73"/>
      <c r="J321" s="73"/>
      <c r="K321" s="191"/>
      <c r="L321" s="191"/>
      <c r="M321" s="74"/>
      <c r="N321" s="2"/>
      <c r="O321" s="2"/>
      <c r="P321" s="2"/>
      <c r="Q321" s="2"/>
      <c r="R321" s="2"/>
    </row>
    <row r="322" spans="1:18" ht="15">
      <c r="A322" s="2"/>
      <c r="B322" s="2"/>
      <c r="C322" s="73"/>
      <c r="D322" s="73"/>
      <c r="E322" s="73"/>
      <c r="F322" s="73"/>
      <c r="G322" s="73"/>
      <c r="H322" s="73"/>
      <c r="I322" s="73"/>
      <c r="J322" s="73"/>
      <c r="K322" s="191"/>
      <c r="L322" s="191"/>
      <c r="M322" s="74"/>
      <c r="N322" s="2"/>
      <c r="O322" s="2"/>
      <c r="P322" s="2"/>
      <c r="Q322" s="2"/>
      <c r="R322" s="2"/>
    </row>
    <row r="323" spans="1:18" ht="15">
      <c r="A323" s="2"/>
      <c r="B323" s="2"/>
      <c r="C323" s="73"/>
      <c r="D323" s="73"/>
      <c r="E323" s="73"/>
      <c r="F323" s="73"/>
      <c r="G323" s="73"/>
      <c r="H323" s="73"/>
      <c r="I323" s="73"/>
      <c r="J323" s="73"/>
      <c r="K323" s="191"/>
      <c r="L323" s="191"/>
      <c r="M323" s="74"/>
      <c r="N323" s="2"/>
      <c r="O323" s="2"/>
      <c r="P323" s="2"/>
      <c r="Q323" s="2"/>
      <c r="R323" s="2"/>
    </row>
    <row r="324" spans="1:18" ht="15">
      <c r="A324" s="2"/>
      <c r="B324" s="2"/>
      <c r="C324" s="73"/>
      <c r="D324" s="73"/>
      <c r="E324" s="73"/>
      <c r="F324" s="73"/>
      <c r="G324" s="73"/>
      <c r="H324" s="73"/>
      <c r="I324" s="73"/>
      <c r="J324" s="73"/>
      <c r="K324" s="191"/>
      <c r="L324" s="191"/>
      <c r="M324" s="74"/>
      <c r="N324" s="2"/>
      <c r="O324" s="2"/>
      <c r="P324" s="2"/>
      <c r="Q324" s="2"/>
      <c r="R324" s="2"/>
    </row>
    <row r="325" spans="1:18" ht="15">
      <c r="A325" s="2"/>
      <c r="B325" s="2"/>
      <c r="C325" s="73"/>
      <c r="D325" s="73"/>
      <c r="E325" s="73"/>
      <c r="F325" s="73"/>
      <c r="G325" s="73"/>
      <c r="H325" s="73"/>
      <c r="I325" s="73"/>
      <c r="J325" s="73"/>
      <c r="K325" s="191"/>
      <c r="L325" s="191"/>
      <c r="M325" s="74"/>
      <c r="N325" s="2"/>
      <c r="O325" s="2"/>
      <c r="P325" s="2"/>
      <c r="Q325" s="2"/>
      <c r="R325" s="2"/>
    </row>
    <row r="326" spans="1:18" ht="15">
      <c r="A326" s="2"/>
      <c r="B326" s="2"/>
      <c r="C326" s="73"/>
      <c r="D326" s="73"/>
      <c r="E326" s="73"/>
      <c r="F326" s="73"/>
      <c r="G326" s="73"/>
      <c r="H326" s="73"/>
      <c r="I326" s="73"/>
      <c r="J326" s="73"/>
      <c r="K326" s="191"/>
      <c r="L326" s="191"/>
      <c r="M326" s="74"/>
      <c r="N326" s="2"/>
      <c r="O326" s="2"/>
      <c r="P326" s="2"/>
      <c r="Q326" s="2"/>
      <c r="R326" s="2"/>
    </row>
    <row r="327" spans="1:18" ht="15">
      <c r="A327" s="2"/>
      <c r="B327" s="2"/>
      <c r="C327" s="73"/>
      <c r="D327" s="73"/>
      <c r="E327" s="73"/>
      <c r="F327" s="73"/>
      <c r="G327" s="73"/>
      <c r="H327" s="73"/>
      <c r="I327" s="73"/>
      <c r="J327" s="73"/>
      <c r="K327" s="191"/>
      <c r="L327" s="191"/>
      <c r="M327" s="74"/>
      <c r="N327" s="2"/>
      <c r="O327" s="2"/>
      <c r="P327" s="2"/>
      <c r="Q327" s="2"/>
      <c r="R327" s="2"/>
    </row>
    <row r="328" spans="1:18" ht="15">
      <c r="A328" s="2"/>
      <c r="B328" s="2"/>
      <c r="C328" s="73"/>
      <c r="D328" s="73"/>
      <c r="E328" s="73"/>
      <c r="F328" s="73"/>
      <c r="G328" s="73"/>
      <c r="H328" s="73"/>
      <c r="I328" s="73"/>
      <c r="J328" s="73"/>
      <c r="K328" s="191"/>
      <c r="L328" s="191"/>
      <c r="M328" s="74"/>
      <c r="N328" s="2"/>
      <c r="O328" s="2"/>
      <c r="P328" s="2"/>
      <c r="Q328" s="2"/>
      <c r="R328" s="2"/>
    </row>
    <row r="329" spans="1:18" ht="15">
      <c r="A329" s="2"/>
      <c r="B329" s="2"/>
      <c r="C329" s="73"/>
      <c r="D329" s="73"/>
      <c r="E329" s="73"/>
      <c r="F329" s="73"/>
      <c r="G329" s="73"/>
      <c r="H329" s="73"/>
      <c r="I329" s="73"/>
      <c r="J329" s="73"/>
      <c r="K329" s="191"/>
      <c r="L329" s="191"/>
      <c r="M329" s="74"/>
      <c r="N329" s="2"/>
      <c r="O329" s="2"/>
      <c r="P329" s="2"/>
      <c r="Q329" s="2"/>
      <c r="R329" s="2"/>
    </row>
    <row r="330" spans="1:18" ht="15">
      <c r="A330" s="2"/>
      <c r="B330" s="2"/>
      <c r="C330" s="73"/>
      <c r="D330" s="73"/>
      <c r="E330" s="73"/>
      <c r="F330" s="73"/>
      <c r="G330" s="73"/>
      <c r="H330" s="73"/>
      <c r="I330" s="73"/>
      <c r="J330" s="73"/>
      <c r="K330" s="191"/>
      <c r="L330" s="191"/>
      <c r="M330" s="74"/>
      <c r="N330" s="2"/>
      <c r="O330" s="2"/>
      <c r="P330" s="2"/>
      <c r="Q330" s="2"/>
      <c r="R330" s="2"/>
    </row>
    <row r="331" spans="1:18" ht="15">
      <c r="A331" s="2"/>
      <c r="B331" s="2"/>
      <c r="C331" s="73"/>
      <c r="D331" s="73"/>
      <c r="E331" s="73"/>
      <c r="F331" s="73"/>
      <c r="G331" s="73"/>
      <c r="H331" s="73"/>
      <c r="I331" s="73"/>
      <c r="J331" s="73"/>
      <c r="K331" s="191"/>
      <c r="L331" s="191"/>
      <c r="M331" s="74"/>
      <c r="N331" s="2"/>
      <c r="O331" s="2"/>
      <c r="P331" s="2"/>
      <c r="Q331" s="2"/>
      <c r="R331" s="2"/>
    </row>
    <row r="332" spans="1:18" ht="15">
      <c r="A332" s="2"/>
      <c r="B332" s="2"/>
      <c r="C332" s="73"/>
      <c r="D332" s="73"/>
      <c r="E332" s="73"/>
      <c r="F332" s="73"/>
      <c r="G332" s="73"/>
      <c r="H332" s="73"/>
      <c r="I332" s="73"/>
      <c r="J332" s="73"/>
      <c r="K332" s="191"/>
      <c r="L332" s="191"/>
      <c r="M332" s="74"/>
      <c r="N332" s="2"/>
      <c r="O332" s="2"/>
      <c r="P332" s="2"/>
      <c r="Q332" s="2"/>
      <c r="R332" s="2"/>
    </row>
    <row r="333" spans="1:18" ht="15">
      <c r="A333" s="2"/>
      <c r="B333" s="2"/>
      <c r="C333" s="73"/>
      <c r="D333" s="73"/>
      <c r="E333" s="73"/>
      <c r="F333" s="73"/>
      <c r="G333" s="73"/>
      <c r="H333" s="73"/>
      <c r="I333" s="73"/>
      <c r="J333" s="73"/>
      <c r="K333" s="191"/>
      <c r="L333" s="191"/>
      <c r="M333" s="74"/>
      <c r="N333" s="2"/>
      <c r="O333" s="2"/>
      <c r="P333" s="2"/>
      <c r="Q333" s="2"/>
      <c r="R333" s="2"/>
    </row>
    <row r="334" spans="1:18" ht="15">
      <c r="A334" s="2"/>
      <c r="B334" s="2"/>
      <c r="C334" s="73"/>
      <c r="D334" s="73"/>
      <c r="E334" s="73"/>
      <c r="F334" s="73"/>
      <c r="G334" s="73"/>
      <c r="H334" s="73"/>
      <c r="I334" s="73"/>
      <c r="J334" s="73"/>
      <c r="K334" s="191"/>
      <c r="L334" s="191"/>
      <c r="M334" s="74"/>
      <c r="N334" s="2"/>
      <c r="O334" s="2"/>
      <c r="P334" s="2"/>
      <c r="Q334" s="2"/>
      <c r="R334" s="2"/>
    </row>
    <row r="335" spans="1:18" ht="15">
      <c r="A335" s="2"/>
      <c r="B335" s="2"/>
      <c r="C335" s="73"/>
      <c r="D335" s="73"/>
      <c r="E335" s="73"/>
      <c r="F335" s="73"/>
      <c r="G335" s="73"/>
      <c r="H335" s="73"/>
      <c r="I335" s="73"/>
      <c r="J335" s="73"/>
      <c r="K335" s="191"/>
      <c r="L335" s="191"/>
      <c r="M335" s="74"/>
      <c r="N335" s="2"/>
      <c r="O335" s="2"/>
      <c r="P335" s="2"/>
      <c r="Q335" s="2"/>
      <c r="R335" s="2"/>
    </row>
    <row r="336" spans="1:18" ht="15">
      <c r="A336" s="2"/>
      <c r="B336" s="2"/>
      <c r="C336" s="73"/>
      <c r="D336" s="73"/>
      <c r="E336" s="73"/>
      <c r="F336" s="73"/>
      <c r="G336" s="73"/>
      <c r="H336" s="73"/>
      <c r="I336" s="73"/>
      <c r="J336" s="73"/>
      <c r="K336" s="191"/>
      <c r="L336" s="191"/>
      <c r="M336" s="74"/>
      <c r="N336" s="2"/>
      <c r="O336" s="2"/>
      <c r="P336" s="2"/>
      <c r="Q336" s="2"/>
      <c r="R336" s="2"/>
    </row>
    <row r="337" spans="1:18" ht="15">
      <c r="A337" s="2"/>
      <c r="B337" s="2"/>
      <c r="C337" s="73"/>
      <c r="D337" s="73"/>
      <c r="E337" s="73"/>
      <c r="F337" s="73"/>
      <c r="G337" s="73"/>
      <c r="H337" s="73"/>
      <c r="I337" s="73"/>
      <c r="J337" s="73"/>
      <c r="K337" s="191"/>
      <c r="L337" s="191"/>
      <c r="M337" s="74"/>
      <c r="N337" s="2"/>
      <c r="O337" s="2"/>
      <c r="P337" s="2"/>
      <c r="Q337" s="2"/>
      <c r="R337" s="2"/>
    </row>
    <row r="338" spans="1:18" ht="15">
      <c r="A338" s="2"/>
      <c r="B338" s="2"/>
      <c r="C338" s="73"/>
      <c r="D338" s="73"/>
      <c r="E338" s="73"/>
      <c r="F338" s="73"/>
      <c r="G338" s="73"/>
      <c r="H338" s="73"/>
      <c r="I338" s="73"/>
      <c r="J338" s="73"/>
      <c r="K338" s="191"/>
      <c r="L338" s="191"/>
      <c r="M338" s="74"/>
      <c r="N338" s="2"/>
      <c r="O338" s="2"/>
      <c r="P338" s="2"/>
      <c r="Q338" s="2"/>
      <c r="R338" s="2"/>
    </row>
    <row r="339" spans="1:18" ht="15">
      <c r="A339" s="2"/>
      <c r="B339" s="2"/>
      <c r="C339" s="73"/>
      <c r="D339" s="73"/>
      <c r="E339" s="73"/>
      <c r="F339" s="73"/>
      <c r="G339" s="73"/>
      <c r="H339" s="73"/>
      <c r="I339" s="73"/>
      <c r="J339" s="73"/>
      <c r="K339" s="191"/>
      <c r="L339" s="191"/>
      <c r="M339" s="74"/>
      <c r="N339" s="2"/>
      <c r="O339" s="2"/>
      <c r="P339" s="2"/>
      <c r="Q339" s="2"/>
      <c r="R339" s="2"/>
    </row>
    <row r="340" spans="1:18" ht="15">
      <c r="A340" s="2"/>
      <c r="B340" s="2"/>
      <c r="C340" s="73"/>
      <c r="D340" s="73"/>
      <c r="E340" s="73"/>
      <c r="F340" s="73"/>
      <c r="G340" s="73"/>
      <c r="H340" s="73"/>
      <c r="I340" s="73"/>
      <c r="J340" s="73"/>
      <c r="K340" s="191"/>
      <c r="L340" s="191"/>
      <c r="M340" s="74"/>
      <c r="N340" s="2"/>
      <c r="O340" s="2"/>
      <c r="P340" s="2"/>
      <c r="Q340" s="2"/>
      <c r="R340" s="2"/>
    </row>
    <row r="341" spans="1:18" ht="15">
      <c r="A341" s="2"/>
      <c r="B341" s="2"/>
      <c r="C341" s="73"/>
      <c r="D341" s="73"/>
      <c r="E341" s="73"/>
      <c r="F341" s="73"/>
      <c r="G341" s="73"/>
      <c r="H341" s="73"/>
      <c r="I341" s="73"/>
      <c r="J341" s="73"/>
      <c r="K341" s="191"/>
      <c r="L341" s="191"/>
      <c r="M341" s="74"/>
      <c r="N341" s="2"/>
      <c r="O341" s="2"/>
      <c r="P341" s="2"/>
      <c r="Q341" s="2"/>
      <c r="R341" s="2"/>
    </row>
    <row r="342" spans="1:18" ht="15">
      <c r="A342" s="2"/>
      <c r="B342" s="2"/>
      <c r="C342" s="73"/>
      <c r="D342" s="73"/>
      <c r="E342" s="73"/>
      <c r="F342" s="73"/>
      <c r="G342" s="73"/>
      <c r="H342" s="73"/>
      <c r="I342" s="73"/>
      <c r="J342" s="73"/>
      <c r="K342" s="191"/>
      <c r="L342" s="191"/>
      <c r="M342" s="74"/>
      <c r="N342" s="2"/>
      <c r="O342" s="2"/>
      <c r="P342" s="2"/>
      <c r="Q342" s="2"/>
      <c r="R342" s="2"/>
    </row>
    <row r="343" spans="1:18" ht="15">
      <c r="A343" s="2"/>
      <c r="B343" s="2"/>
      <c r="C343" s="73"/>
      <c r="D343" s="73"/>
      <c r="E343" s="73"/>
      <c r="F343" s="73"/>
      <c r="G343" s="73"/>
      <c r="H343" s="73"/>
      <c r="I343" s="73"/>
      <c r="J343" s="73"/>
      <c r="K343" s="191"/>
      <c r="L343" s="191"/>
      <c r="M343" s="74"/>
      <c r="N343" s="2"/>
      <c r="O343" s="2"/>
      <c r="P343" s="2"/>
      <c r="Q343" s="2"/>
      <c r="R343" s="2"/>
    </row>
    <row r="344" spans="1:18" ht="15">
      <c r="A344" s="2"/>
      <c r="B344" s="2"/>
      <c r="C344" s="73"/>
      <c r="D344" s="73"/>
      <c r="E344" s="73"/>
      <c r="F344" s="73"/>
      <c r="G344" s="73"/>
      <c r="H344" s="73"/>
      <c r="I344" s="73"/>
      <c r="J344" s="73"/>
      <c r="K344" s="191"/>
      <c r="L344" s="191"/>
      <c r="M344" s="74"/>
      <c r="N344" s="2"/>
      <c r="O344" s="2"/>
      <c r="P344" s="2"/>
      <c r="Q344" s="2"/>
      <c r="R344" s="2"/>
    </row>
    <row r="345" spans="1:18" ht="15">
      <c r="A345" s="2"/>
      <c r="B345" s="2"/>
      <c r="C345" s="73"/>
      <c r="D345" s="73"/>
      <c r="E345" s="73"/>
      <c r="F345" s="73"/>
      <c r="G345" s="73"/>
      <c r="H345" s="73"/>
      <c r="I345" s="73"/>
      <c r="J345" s="73"/>
      <c r="K345" s="191"/>
      <c r="L345" s="191"/>
      <c r="M345" s="74"/>
      <c r="N345" s="2"/>
      <c r="O345" s="2"/>
      <c r="P345" s="2"/>
      <c r="Q345" s="2"/>
      <c r="R345" s="2"/>
    </row>
    <row r="346" spans="1:18" ht="15">
      <c r="A346" s="2"/>
      <c r="B346" s="2"/>
      <c r="C346" s="73"/>
      <c r="D346" s="73"/>
      <c r="E346" s="73"/>
      <c r="F346" s="73"/>
      <c r="G346" s="73"/>
      <c r="H346" s="73"/>
      <c r="I346" s="73"/>
      <c r="J346" s="73"/>
      <c r="K346" s="191"/>
      <c r="L346" s="191"/>
      <c r="M346" s="74"/>
      <c r="N346" s="2"/>
      <c r="O346" s="2"/>
      <c r="P346" s="2"/>
      <c r="Q346" s="2"/>
      <c r="R346" s="2"/>
    </row>
    <row r="347" spans="1:18" ht="15">
      <c r="A347" s="2"/>
      <c r="B347" s="2"/>
      <c r="C347" s="73"/>
      <c r="D347" s="73"/>
      <c r="E347" s="73"/>
      <c r="F347" s="73"/>
      <c r="G347" s="73"/>
      <c r="H347" s="73"/>
      <c r="I347" s="73"/>
      <c r="J347" s="73"/>
      <c r="K347" s="191"/>
      <c r="L347" s="191"/>
      <c r="M347" s="74"/>
      <c r="N347" s="2"/>
      <c r="O347" s="2"/>
      <c r="P347" s="2"/>
      <c r="Q347" s="2"/>
      <c r="R347" s="2"/>
    </row>
    <row r="348" spans="1:18" ht="15">
      <c r="A348" s="2"/>
      <c r="B348" s="2"/>
      <c r="C348" s="73"/>
      <c r="D348" s="73"/>
      <c r="E348" s="73"/>
      <c r="F348" s="73"/>
      <c r="G348" s="73"/>
      <c r="H348" s="73"/>
      <c r="I348" s="73"/>
      <c r="J348" s="73"/>
      <c r="K348" s="191"/>
      <c r="L348" s="191"/>
      <c r="M348" s="74"/>
      <c r="N348" s="2"/>
      <c r="O348" s="2"/>
      <c r="P348" s="2"/>
      <c r="Q348" s="2"/>
      <c r="R348" s="2"/>
    </row>
    <row r="349" spans="1:18" ht="15">
      <c r="A349" s="2"/>
      <c r="B349" s="2"/>
      <c r="C349" s="73"/>
      <c r="D349" s="73"/>
      <c r="E349" s="73"/>
      <c r="F349" s="73"/>
      <c r="G349" s="73"/>
      <c r="H349" s="73"/>
      <c r="I349" s="73"/>
      <c r="J349" s="73"/>
      <c r="K349" s="191"/>
      <c r="L349" s="191"/>
      <c r="M349" s="74"/>
      <c r="N349" s="2"/>
      <c r="O349" s="2"/>
      <c r="P349" s="2"/>
      <c r="Q349" s="2"/>
      <c r="R349" s="2"/>
    </row>
    <row r="350" spans="1:18" ht="15">
      <c r="A350" s="2"/>
      <c r="B350" s="2"/>
      <c r="C350" s="73"/>
      <c r="D350" s="73"/>
      <c r="E350" s="73"/>
      <c r="F350" s="73"/>
      <c r="G350" s="73"/>
      <c r="H350" s="73"/>
      <c r="I350" s="73"/>
      <c r="J350" s="73"/>
      <c r="K350" s="191"/>
      <c r="L350" s="191"/>
      <c r="M350" s="74"/>
      <c r="N350" s="2"/>
      <c r="O350" s="2"/>
      <c r="P350" s="2"/>
      <c r="Q350" s="2"/>
      <c r="R350" s="2"/>
    </row>
    <row r="351" spans="1:18" ht="15">
      <c r="A351" s="2"/>
      <c r="B351" s="2"/>
      <c r="C351" s="73"/>
      <c r="D351" s="73"/>
      <c r="E351" s="73"/>
      <c r="F351" s="73"/>
      <c r="G351" s="73"/>
      <c r="H351" s="73"/>
      <c r="I351" s="73"/>
      <c r="J351" s="73"/>
      <c r="K351" s="191"/>
      <c r="L351" s="191"/>
      <c r="M351" s="74"/>
      <c r="N351" s="2"/>
      <c r="O351" s="2"/>
      <c r="P351" s="2"/>
      <c r="Q351" s="2"/>
      <c r="R351" s="2"/>
    </row>
    <row r="352" spans="1:18" ht="15">
      <c r="A352" s="2"/>
      <c r="B352" s="2"/>
      <c r="C352" s="73"/>
      <c r="D352" s="73"/>
      <c r="E352" s="73"/>
      <c r="F352" s="73"/>
      <c r="G352" s="73"/>
      <c r="H352" s="73"/>
      <c r="I352" s="73"/>
      <c r="J352" s="73"/>
      <c r="K352" s="191"/>
      <c r="L352" s="191"/>
      <c r="M352" s="74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1"/>
      <c r="L353" s="191"/>
      <c r="M353" s="74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1"/>
      <c r="L354" s="191"/>
      <c r="M354" s="74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1"/>
      <c r="L355" s="191"/>
      <c r="M355" s="74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1"/>
      <c r="L356" s="191"/>
      <c r="M356" s="74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1"/>
      <c r="L357" s="191"/>
      <c r="M357" s="74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1"/>
      <c r="L358" s="191"/>
      <c r="M358" s="74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1"/>
      <c r="L359" s="191"/>
      <c r="M359" s="74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1"/>
      <c r="L360" s="191"/>
      <c r="M360" s="74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1"/>
      <c r="L361" s="191"/>
      <c r="M361" s="74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1"/>
      <c r="L362" s="191"/>
      <c r="M362" s="74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1"/>
      <c r="L363" s="191"/>
      <c r="M363" s="74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1"/>
      <c r="L364" s="191"/>
      <c r="M364" s="74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1"/>
      <c r="L365" s="191"/>
      <c r="M365" s="74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1"/>
      <c r="L366" s="191"/>
      <c r="M366" s="74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1"/>
      <c r="L367" s="191"/>
      <c r="M367" s="74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1"/>
      <c r="L368" s="191"/>
      <c r="M368" s="74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1"/>
      <c r="L369" s="191"/>
      <c r="M369" s="74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1"/>
      <c r="L370" s="191"/>
      <c r="M370" s="74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1"/>
      <c r="L371" s="191"/>
      <c r="M371" s="74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1"/>
      <c r="L372" s="191"/>
      <c r="M372" s="74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1"/>
      <c r="L373" s="191"/>
      <c r="M373" s="74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1"/>
      <c r="L374" s="191"/>
      <c r="M374" s="74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1"/>
      <c r="L375" s="191"/>
      <c r="M375" s="74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1"/>
      <c r="L376" s="191"/>
      <c r="M376" s="74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1"/>
      <c r="L377" s="191"/>
      <c r="M377" s="74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1"/>
      <c r="L378" s="191"/>
      <c r="M378" s="74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1"/>
      <c r="L379" s="191"/>
      <c r="M379" s="74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1"/>
      <c r="L380" s="191"/>
      <c r="M380" s="74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1"/>
      <c r="L381" s="191"/>
      <c r="M381" s="74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1"/>
      <c r="L382" s="191"/>
      <c r="M382" s="74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1"/>
      <c r="L383" s="191"/>
      <c r="M383" s="74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1"/>
      <c r="L384" s="191"/>
      <c r="M384" s="74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1"/>
      <c r="L385" s="191"/>
      <c r="M385" s="74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1"/>
      <c r="L386" s="191"/>
      <c r="M386" s="74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1"/>
      <c r="L387" s="191"/>
      <c r="M387" s="74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1"/>
      <c r="L388" s="191"/>
      <c r="M388" s="74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1"/>
      <c r="L389" s="191"/>
      <c r="M389" s="74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1"/>
      <c r="L390" s="191"/>
      <c r="M390" s="74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1"/>
      <c r="L391" s="191"/>
      <c r="M391" s="74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1"/>
      <c r="L392" s="191"/>
      <c r="M392" s="74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1"/>
      <c r="L393" s="191"/>
      <c r="M393" s="74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1"/>
      <c r="L394" s="191"/>
      <c r="M394" s="74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1"/>
      <c r="L395" s="191"/>
      <c r="M395" s="74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1"/>
      <c r="L396" s="191"/>
      <c r="M396" s="74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1"/>
      <c r="L397" s="191"/>
      <c r="M397" s="74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1"/>
      <c r="L398" s="191"/>
      <c r="M398" s="74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1"/>
      <c r="L399" s="191"/>
      <c r="M399" s="74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1"/>
      <c r="L400" s="191"/>
      <c r="M400" s="74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1"/>
      <c r="L401" s="191"/>
      <c r="M401" s="74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1"/>
      <c r="L402" s="191"/>
      <c r="M402" s="74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1"/>
      <c r="L403" s="191"/>
      <c r="M403" s="74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1"/>
      <c r="L404" s="191"/>
      <c r="M404" s="74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1"/>
      <c r="L405" s="191"/>
      <c r="M405" s="74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1"/>
      <c r="L406" s="191"/>
      <c r="M406" s="74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1"/>
      <c r="L407" s="191"/>
      <c r="M407" s="74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1"/>
      <c r="L408" s="191"/>
      <c r="M408" s="74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1"/>
      <c r="L409" s="191"/>
      <c r="M409" s="74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1"/>
      <c r="L410" s="191"/>
      <c r="M410" s="74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1"/>
      <c r="L411" s="191"/>
      <c r="M411" s="74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1"/>
      <c r="L412" s="191"/>
      <c r="M412" s="74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1"/>
      <c r="L413" s="191"/>
      <c r="M413" s="74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1"/>
      <c r="L414" s="191"/>
      <c r="M414" s="74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1"/>
      <c r="L415" s="191"/>
      <c r="M415" s="74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1"/>
      <c r="L416" s="191"/>
      <c r="M416" s="74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1"/>
      <c r="L417" s="191"/>
      <c r="M417" s="74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1"/>
      <c r="L418" s="191"/>
      <c r="M418" s="74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1"/>
      <c r="L419" s="191"/>
      <c r="M419" s="74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1"/>
      <c r="L420" s="191"/>
      <c r="M420" s="74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1"/>
      <c r="L421" s="191"/>
      <c r="M421" s="74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1"/>
      <c r="L422" s="191"/>
      <c r="M422" s="74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1"/>
      <c r="L423" s="191"/>
      <c r="M423" s="74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1"/>
      <c r="L424" s="191"/>
      <c r="M424" s="74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1"/>
      <c r="L425" s="191"/>
      <c r="M425" s="74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1"/>
      <c r="L426" s="191"/>
      <c r="M426" s="74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1"/>
      <c r="L427" s="191"/>
      <c r="M427" s="74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1"/>
      <c r="L428" s="191"/>
      <c r="M428" s="74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1"/>
      <c r="L429" s="191"/>
      <c r="M429" s="74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1"/>
      <c r="L430" s="191"/>
      <c r="M430" s="74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1"/>
      <c r="L431" s="191"/>
      <c r="M431" s="74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1"/>
      <c r="L432" s="191"/>
      <c r="M432" s="74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1"/>
      <c r="L433" s="191"/>
      <c r="M433" s="74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1"/>
      <c r="L434" s="191"/>
      <c r="M434" s="74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1"/>
      <c r="L435" s="191"/>
      <c r="M435" s="74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1"/>
      <c r="L436" s="191"/>
      <c r="M436" s="74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1"/>
      <c r="L437" s="191"/>
      <c r="M437" s="74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1"/>
      <c r="L438" s="191"/>
      <c r="M438" s="74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1"/>
      <c r="L439" s="191"/>
      <c r="M439" s="74"/>
      <c r="N439" s="2"/>
      <c r="O439" s="2"/>
      <c r="P439" s="2"/>
      <c r="Q439" s="2"/>
      <c r="R439" s="2"/>
    </row>
    <row r="440" spans="1:1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1"/>
      <c r="L440" s="191"/>
      <c r="M440" s="74"/>
      <c r="N440" s="2"/>
      <c r="O440" s="2"/>
      <c r="P440" s="2"/>
      <c r="Q440" s="2"/>
      <c r="R440" s="2"/>
    </row>
    <row r="441" spans="1:1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1"/>
      <c r="L441" s="191"/>
      <c r="M441" s="74"/>
      <c r="N441" s="2"/>
      <c r="O441" s="2"/>
      <c r="P441" s="2"/>
      <c r="Q441" s="2"/>
      <c r="R441" s="2"/>
    </row>
    <row r="442" spans="1:1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1"/>
      <c r="L442" s="191"/>
      <c r="M442" s="74"/>
      <c r="N442" s="2"/>
      <c r="O442" s="2"/>
      <c r="P442" s="2"/>
      <c r="Q442" s="2"/>
      <c r="R442" s="2"/>
    </row>
    <row r="443" spans="1:1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1"/>
      <c r="L443" s="191"/>
      <c r="M443" s="74"/>
      <c r="N443" s="2"/>
      <c r="O443" s="2"/>
      <c r="P443" s="2"/>
      <c r="Q443" s="2"/>
      <c r="R443" s="2"/>
    </row>
    <row r="444" spans="1:1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1"/>
      <c r="L444" s="191"/>
      <c r="M444" s="74"/>
      <c r="N444" s="2"/>
      <c r="O444" s="2"/>
      <c r="P444" s="2"/>
      <c r="Q444" s="2"/>
      <c r="R444" s="2"/>
    </row>
    <row r="445" spans="1:1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1"/>
      <c r="L445" s="191"/>
      <c r="M445" s="74"/>
      <c r="N445" s="2"/>
      <c r="O445" s="2"/>
      <c r="P445" s="2"/>
      <c r="Q445" s="2"/>
      <c r="R445" s="2"/>
    </row>
    <row r="446" spans="1:1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1"/>
      <c r="L446" s="191"/>
      <c r="M446" s="74"/>
      <c r="N446" s="2"/>
      <c r="O446" s="2"/>
      <c r="P446" s="2"/>
      <c r="Q446" s="2"/>
      <c r="R446" s="2"/>
    </row>
    <row r="447" spans="1:1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1"/>
      <c r="L447" s="191"/>
      <c r="M447" s="74"/>
      <c r="N447" s="2"/>
      <c r="O447" s="2"/>
      <c r="P447" s="2"/>
      <c r="Q447" s="2"/>
      <c r="R447" s="2"/>
    </row>
    <row r="448" spans="1:1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1"/>
      <c r="L448" s="191"/>
      <c r="M448" s="74"/>
      <c r="N448" s="2"/>
      <c r="O448" s="2"/>
      <c r="P448" s="2"/>
      <c r="Q448" s="2"/>
      <c r="R448" s="2"/>
    </row>
    <row r="449" spans="1:1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1"/>
      <c r="L449" s="191"/>
      <c r="M449" s="74"/>
      <c r="N449" s="2"/>
      <c r="O449" s="2"/>
      <c r="P449" s="2"/>
      <c r="Q449" s="2"/>
      <c r="R449" s="2"/>
    </row>
    <row r="450" spans="1:1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1"/>
      <c r="L450" s="191"/>
      <c r="M450" s="74"/>
      <c r="N450" s="2"/>
      <c r="O450" s="2"/>
      <c r="P450" s="2"/>
      <c r="Q450" s="2"/>
      <c r="R450" s="2"/>
    </row>
    <row r="451" spans="1:1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1"/>
      <c r="L451" s="191"/>
      <c r="M451" s="74"/>
      <c r="N451" s="2"/>
      <c r="O451" s="2"/>
      <c r="P451" s="2"/>
      <c r="Q451" s="2"/>
      <c r="R451" s="2"/>
    </row>
    <row r="452" spans="1:1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1"/>
      <c r="L452" s="191"/>
      <c r="M452" s="74"/>
      <c r="N452" s="2"/>
      <c r="O452" s="2"/>
      <c r="P452" s="2"/>
      <c r="Q452" s="2"/>
      <c r="R452" s="2"/>
    </row>
    <row r="453" spans="1:18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1"/>
      <c r="L453" s="191"/>
      <c r="M453" s="74"/>
      <c r="N453" s="2"/>
      <c r="O453" s="2"/>
      <c r="P453" s="2"/>
      <c r="Q453" s="2"/>
      <c r="R453" s="2"/>
    </row>
    <row r="454" spans="1:18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1"/>
      <c r="L454" s="191"/>
      <c r="M454" s="74"/>
      <c r="N454" s="2"/>
      <c r="O454" s="2"/>
      <c r="P454" s="2"/>
      <c r="Q454" s="2"/>
      <c r="R454" s="2"/>
    </row>
    <row r="455" spans="1:18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91"/>
      <c r="L455" s="191"/>
      <c r="M455" s="74"/>
      <c r="N455" s="2"/>
      <c r="O455" s="2"/>
      <c r="P455" s="2"/>
      <c r="Q455" s="2"/>
      <c r="R455" s="2"/>
    </row>
    <row r="456" spans="1:18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91"/>
      <c r="L456" s="191"/>
      <c r="M456" s="74"/>
      <c r="N456" s="2"/>
      <c r="O456" s="2"/>
      <c r="P456" s="2"/>
      <c r="Q456" s="2"/>
      <c r="R456" s="2"/>
    </row>
    <row r="457" spans="1:18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91"/>
      <c r="L457" s="191"/>
      <c r="M457" s="74"/>
      <c r="N457" s="2"/>
      <c r="O457" s="2"/>
      <c r="P457" s="2"/>
      <c r="Q457" s="2"/>
      <c r="R457" s="2"/>
    </row>
    <row r="458" spans="1:18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91"/>
      <c r="L458" s="191"/>
      <c r="M458" s="74"/>
      <c r="N458" s="2"/>
      <c r="O458" s="2"/>
      <c r="P458" s="2"/>
      <c r="Q458" s="2"/>
      <c r="R458" s="2"/>
    </row>
    <row r="459" spans="1:18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91"/>
      <c r="L459" s="191"/>
      <c r="M459" s="74"/>
      <c r="N459" s="2"/>
      <c r="O459" s="2"/>
      <c r="P459" s="2"/>
      <c r="Q459" s="2"/>
      <c r="R459" s="2"/>
    </row>
    <row r="460" spans="1:18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91"/>
      <c r="L460" s="191"/>
      <c r="M460" s="74"/>
      <c r="N460" s="2"/>
      <c r="O460" s="2"/>
      <c r="P460" s="2"/>
      <c r="Q460" s="2"/>
      <c r="R460" s="2"/>
    </row>
    <row r="461" spans="1:18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91"/>
      <c r="L461" s="191"/>
      <c r="M461" s="74"/>
      <c r="N461" s="2"/>
      <c r="O461" s="2"/>
      <c r="P461" s="2"/>
      <c r="Q461" s="2"/>
      <c r="R461" s="2"/>
    </row>
    <row r="462" spans="1:18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91"/>
      <c r="L462" s="191"/>
      <c r="M462" s="74"/>
      <c r="N462" s="2"/>
      <c r="O462" s="2"/>
      <c r="P462" s="2"/>
      <c r="Q462" s="2"/>
      <c r="R462" s="2"/>
    </row>
    <row r="463" spans="1:18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91"/>
      <c r="L463" s="191"/>
      <c r="M463" s="74"/>
      <c r="N463" s="2"/>
      <c r="O463" s="2"/>
      <c r="P463" s="2"/>
      <c r="Q463" s="2"/>
      <c r="R463" s="2"/>
    </row>
    <row r="464" spans="1:18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91"/>
      <c r="L464" s="191"/>
      <c r="M464" s="74"/>
      <c r="N464" s="2"/>
      <c r="O464" s="2"/>
      <c r="P464" s="2"/>
      <c r="Q464" s="2"/>
      <c r="R464" s="2"/>
    </row>
    <row r="465" spans="1:18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91"/>
      <c r="L465" s="191"/>
      <c r="M465" s="74"/>
      <c r="N465" s="2"/>
      <c r="O465" s="2"/>
      <c r="P465" s="2"/>
      <c r="Q465" s="2"/>
      <c r="R465" s="2"/>
    </row>
    <row r="466" spans="1:18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91"/>
      <c r="L466" s="191"/>
      <c r="M466" s="74"/>
      <c r="N466" s="2"/>
      <c r="O466" s="2"/>
      <c r="P466" s="2"/>
      <c r="Q466" s="2"/>
      <c r="R466" s="2"/>
    </row>
    <row r="467" spans="1:18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191"/>
      <c r="L467" s="191"/>
      <c r="M467" s="74"/>
      <c r="N467" s="2"/>
      <c r="O467" s="2"/>
      <c r="P467" s="2"/>
      <c r="Q467" s="2"/>
      <c r="R467" s="2"/>
    </row>
    <row r="468" spans="1:18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191"/>
      <c r="L468" s="191"/>
      <c r="M468" s="74"/>
      <c r="N468" s="2"/>
      <c r="O468" s="2"/>
      <c r="P468" s="2"/>
      <c r="Q468" s="2"/>
      <c r="R468" s="2"/>
    </row>
    <row r="469" spans="1:18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191"/>
      <c r="L469" s="191"/>
      <c r="M469" s="74"/>
      <c r="N469" s="2"/>
      <c r="O469" s="2"/>
      <c r="P469" s="2"/>
      <c r="Q469" s="2"/>
      <c r="R469" s="2"/>
    </row>
    <row r="470" spans="1:18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191"/>
      <c r="L470" s="191"/>
      <c r="M470" s="74"/>
      <c r="N470" s="2"/>
      <c r="O470" s="2"/>
      <c r="P470" s="2"/>
      <c r="Q470" s="2"/>
      <c r="R470" s="2"/>
    </row>
    <row r="471" spans="1:18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191"/>
      <c r="L471" s="191"/>
      <c r="M471" s="74"/>
      <c r="N471" s="2"/>
      <c r="O471" s="2"/>
      <c r="P471" s="2"/>
      <c r="Q471" s="2"/>
      <c r="R471" s="2"/>
    </row>
    <row r="472" spans="1:18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191"/>
      <c r="L472" s="191"/>
      <c r="M472" s="74"/>
      <c r="N472" s="2"/>
      <c r="O472" s="2"/>
      <c r="P472" s="2"/>
      <c r="Q472" s="2"/>
      <c r="R472" s="2"/>
    </row>
    <row r="473" spans="1:18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191"/>
      <c r="L473" s="191"/>
      <c r="M473" s="74"/>
      <c r="N473" s="2"/>
      <c r="O473" s="2"/>
      <c r="P473" s="2"/>
      <c r="Q473" s="2"/>
      <c r="R473" s="2"/>
    </row>
    <row r="474" spans="1:18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191"/>
      <c r="L474" s="191"/>
      <c r="M474" s="74"/>
      <c r="N474" s="2"/>
      <c r="O474" s="2"/>
      <c r="P474" s="2"/>
      <c r="Q474" s="2"/>
      <c r="R474" s="2"/>
    </row>
    <row r="475" spans="1:18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191"/>
      <c r="L475" s="191"/>
      <c r="M475" s="74"/>
      <c r="N475" s="2"/>
      <c r="O475" s="2"/>
      <c r="P475" s="2"/>
      <c r="Q475" s="2"/>
      <c r="R475" s="2"/>
    </row>
    <row r="476" spans="1:18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191"/>
      <c r="L476" s="191"/>
      <c r="M476" s="74"/>
      <c r="N476" s="2"/>
      <c r="O476" s="2"/>
      <c r="P476" s="2"/>
      <c r="Q476" s="2"/>
      <c r="R476" s="2"/>
    </row>
    <row r="477" spans="1:18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191"/>
      <c r="L477" s="191"/>
      <c r="M477" s="74"/>
      <c r="N477" s="2"/>
      <c r="O477" s="2"/>
      <c r="P477" s="2"/>
      <c r="Q477" s="2"/>
      <c r="R477" s="2"/>
    </row>
    <row r="478" spans="1:18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191"/>
      <c r="L478" s="191"/>
      <c r="M478" s="74"/>
      <c r="N478" s="2"/>
      <c r="O478" s="2"/>
      <c r="P478" s="2"/>
      <c r="Q478" s="2"/>
      <c r="R478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6" r:id="rId1"/>
  <rowBreaks count="4" manualBreakCount="4">
    <brk id="52" max="12" man="1"/>
    <brk id="97" max="12" man="1"/>
    <brk id="142" max="12" man="1"/>
    <brk id="18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79" customWidth="1"/>
    <col min="2" max="2" width="9.77734375" style="79" customWidth="1"/>
    <col min="3" max="3" width="16.10546875" style="79" customWidth="1"/>
    <col min="4" max="4" width="16.21484375" style="79" customWidth="1"/>
    <col min="5" max="5" width="13.6640625" style="79" customWidth="1"/>
    <col min="6" max="6" width="14.3359375" style="79" customWidth="1"/>
    <col min="7" max="7" width="21.4453125" style="79" customWidth="1"/>
    <col min="8" max="8" width="17.88671875" style="79" customWidth="1"/>
    <col min="9" max="9" width="15.4453125" style="79" customWidth="1"/>
    <col min="10" max="10" width="14.6640625" style="79" customWidth="1"/>
    <col min="11" max="11" width="11.5546875" style="79" customWidth="1"/>
    <col min="12" max="12" width="12.77734375" style="79" customWidth="1"/>
    <col min="13" max="13" width="14.5546875" style="79" customWidth="1"/>
    <col min="14" max="14" width="9.4453125" style="79" customWidth="1"/>
    <col min="15" max="15" width="13.88671875" style="79" customWidth="1"/>
    <col min="16" max="16" width="3.77734375" style="79" customWidth="1"/>
    <col min="17" max="16384" width="9.6640625" style="79" customWidth="1"/>
  </cols>
  <sheetData>
    <row r="1" spans="1:15" ht="22.5">
      <c r="A1" s="77" t="s">
        <v>0</v>
      </c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2.5">
      <c r="A2" s="77" t="s">
        <v>23</v>
      </c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22.5">
      <c r="A3" s="77" t="s">
        <v>72</v>
      </c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22.5">
      <c r="A4" s="77"/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23.25" thickBot="1">
      <c r="A5" s="77" t="s">
        <v>24</v>
      </c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6" ht="15.75" thickTop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 t="s">
        <v>25</v>
      </c>
      <c r="P6" s="82"/>
    </row>
    <row r="7" spans="1:16" ht="15">
      <c r="A7" s="104" t="s">
        <v>26</v>
      </c>
      <c r="B7" s="83" t="s">
        <v>13</v>
      </c>
      <c r="C7" s="83" t="s">
        <v>15</v>
      </c>
      <c r="D7" s="83" t="s">
        <v>56</v>
      </c>
      <c r="E7" s="274" t="s">
        <v>62</v>
      </c>
      <c r="F7" s="83" t="s">
        <v>16</v>
      </c>
      <c r="G7" s="83" t="s">
        <v>61</v>
      </c>
      <c r="H7" s="83" t="s">
        <v>17</v>
      </c>
      <c r="I7" s="83" t="s">
        <v>55</v>
      </c>
      <c r="J7" s="83" t="s">
        <v>27</v>
      </c>
      <c r="K7" s="83" t="s">
        <v>57</v>
      </c>
      <c r="L7" s="83" t="s">
        <v>53</v>
      </c>
      <c r="M7" s="83" t="s">
        <v>19</v>
      </c>
      <c r="N7" s="83" t="s">
        <v>54</v>
      </c>
      <c r="O7" s="83" t="s">
        <v>28</v>
      </c>
      <c r="P7" s="82"/>
    </row>
    <row r="8" spans="1:16" ht="15.75" thickBot="1">
      <c r="A8" s="84"/>
      <c r="B8" s="84"/>
      <c r="C8" s="84"/>
      <c r="D8" s="84"/>
      <c r="E8" s="275"/>
      <c r="F8" s="84"/>
      <c r="G8" s="84"/>
      <c r="H8" s="84"/>
      <c r="I8" s="84"/>
      <c r="J8" s="84"/>
      <c r="K8" s="84"/>
      <c r="L8" s="84"/>
      <c r="M8" s="84"/>
      <c r="N8" s="84"/>
      <c r="O8" s="84"/>
      <c r="P8" s="82"/>
    </row>
    <row r="9" spans="1:16" ht="15" thickTop="1">
      <c r="A9" s="85"/>
      <c r="B9" s="85"/>
      <c r="C9" s="85"/>
      <c r="D9" s="85"/>
      <c r="E9" s="86"/>
      <c r="F9" s="86"/>
      <c r="G9" s="86"/>
      <c r="H9" s="86"/>
      <c r="I9" s="86"/>
      <c r="J9" s="85"/>
      <c r="K9" s="85"/>
      <c r="L9" s="85"/>
      <c r="M9" s="85"/>
      <c r="N9" s="85"/>
      <c r="O9" s="85"/>
      <c r="P9" s="82"/>
    </row>
    <row r="10" spans="1:16" ht="15">
      <c r="A10" s="87">
        <f>DATE(2019,7,1)</f>
        <v>43647</v>
      </c>
      <c r="B10" s="88">
        <f>'MONTHLY STATS'!$C$9*2</f>
        <v>547638</v>
      </c>
      <c r="C10" s="88">
        <f>'MONTHLY STATS'!$C$24*2</f>
        <v>257754</v>
      </c>
      <c r="D10" s="88">
        <f>'MONTHLY STATS'!$C$39*2</f>
        <v>133644</v>
      </c>
      <c r="E10" s="88">
        <f>'MONTHLY STATS'!$C$54*2</f>
        <v>876434</v>
      </c>
      <c r="F10" s="88">
        <f>'MONTHLY STATS'!$C$69*2</f>
        <v>577518</v>
      </c>
      <c r="G10" s="88">
        <f>'MONTHLY STATS'!$C$84*2</f>
        <v>221856</v>
      </c>
      <c r="H10" s="88">
        <f>'MONTHLY STATS'!$C$99*2</f>
        <v>302822</v>
      </c>
      <c r="I10" s="88">
        <f>'MONTHLY STATS'!$C$114*2</f>
        <v>647442</v>
      </c>
      <c r="J10" s="88">
        <f>'MONTHLY STATS'!$C$129*2</f>
        <v>733218</v>
      </c>
      <c r="K10" s="88">
        <f>'MONTHLY STATS'!$C$144*2</f>
        <v>840884</v>
      </c>
      <c r="L10" s="88">
        <f>'MONTHLY STATS'!$C$159*2</f>
        <v>122654</v>
      </c>
      <c r="M10" s="88">
        <f>'MONTHLY STATS'!$C$174*2</f>
        <v>894948</v>
      </c>
      <c r="N10" s="88">
        <f>'MONTHLY STATS'!$C$189*2</f>
        <v>154862</v>
      </c>
      <c r="O10" s="89">
        <f aca="true" t="shared" si="0" ref="O10:O15">SUM(B10:N10)</f>
        <v>6311674</v>
      </c>
      <c r="P10" s="82"/>
    </row>
    <row r="11" spans="1:16" ht="15">
      <c r="A11" s="87">
        <f>DATE(2019,8,1)</f>
        <v>43678</v>
      </c>
      <c r="B11" s="88">
        <f>'MONTHLY STATS'!$C$10*2</f>
        <v>553760</v>
      </c>
      <c r="C11" s="88">
        <f>'MONTHLY STATS'!$C$25*2</f>
        <v>260266</v>
      </c>
      <c r="D11" s="88">
        <f>'MONTHLY STATS'!$C$40*2</f>
        <v>138050</v>
      </c>
      <c r="E11" s="88">
        <f>'MONTHLY STATS'!$C$55*2</f>
        <v>874058</v>
      </c>
      <c r="F11" s="88">
        <f>'MONTHLY STATS'!$C$70*2</f>
        <v>585914</v>
      </c>
      <c r="G11" s="88">
        <f>'MONTHLY STATS'!$C$85*2</f>
        <v>228616</v>
      </c>
      <c r="H11" s="88">
        <f>'MONTHLY STATS'!$C$100*2</f>
        <v>306888</v>
      </c>
      <c r="I11" s="88">
        <f>'MONTHLY STATS'!$C$115*2</f>
        <v>649404</v>
      </c>
      <c r="J11" s="88">
        <f>'MONTHLY STATS'!$C$130*2</f>
        <v>769748</v>
      </c>
      <c r="K11" s="88">
        <f>'MONTHLY STATS'!$C$145*2</f>
        <v>880314</v>
      </c>
      <c r="L11" s="88">
        <f>'MONTHLY STATS'!$C$160*2</f>
        <v>125774</v>
      </c>
      <c r="M11" s="88">
        <f>'MONTHLY STATS'!$C$175*2</f>
        <v>926790</v>
      </c>
      <c r="N11" s="88">
        <f>'MONTHLY STATS'!$C$190*2</f>
        <v>166064</v>
      </c>
      <c r="O11" s="89">
        <f t="shared" si="0"/>
        <v>6465646</v>
      </c>
      <c r="P11" s="82"/>
    </row>
    <row r="12" spans="1:16" ht="15">
      <c r="A12" s="87">
        <f>DATE(2019,9,1)</f>
        <v>43709</v>
      </c>
      <c r="B12" s="88">
        <f>'MONTHLY STATS'!$C$11*2</f>
        <v>508056</v>
      </c>
      <c r="C12" s="88">
        <f>'MONTHLY STATS'!$C$26*2</f>
        <v>236502</v>
      </c>
      <c r="D12" s="88">
        <f>'MONTHLY STATS'!$C$41*2</f>
        <v>131146</v>
      </c>
      <c r="E12" s="88">
        <f>'MONTHLY STATS'!$C$56*2</f>
        <v>807698</v>
      </c>
      <c r="F12" s="88">
        <f>'MONTHLY STATS'!$C$71*2</f>
        <v>553426</v>
      </c>
      <c r="G12" s="88">
        <f>'MONTHLY STATS'!$C$86*2</f>
        <v>217338</v>
      </c>
      <c r="H12" s="88">
        <f>'MONTHLY STATS'!$C$101*2</f>
        <v>286098</v>
      </c>
      <c r="I12" s="88">
        <f>'MONTHLY STATS'!$C$116*2</f>
        <v>601562</v>
      </c>
      <c r="J12" s="88">
        <f>'MONTHLY STATS'!$C$131*2</f>
        <v>696336</v>
      </c>
      <c r="K12" s="88">
        <f>'MONTHLY STATS'!$C$146*2</f>
        <v>847168</v>
      </c>
      <c r="L12" s="88">
        <f>'MONTHLY STATS'!$C$161*2</f>
        <v>118216</v>
      </c>
      <c r="M12" s="88">
        <f>'MONTHLY STATS'!$C$176*2</f>
        <v>851784</v>
      </c>
      <c r="N12" s="88">
        <f>'MONTHLY STATS'!$C$191*2</f>
        <v>141848</v>
      </c>
      <c r="O12" s="89">
        <f t="shared" si="0"/>
        <v>5997178</v>
      </c>
      <c r="P12" s="82"/>
    </row>
    <row r="13" spans="1:16" ht="15">
      <c r="A13" s="87">
        <f>DATE(2019,10,1)</f>
        <v>43739</v>
      </c>
      <c r="B13" s="88">
        <f>'MONTHLY STATS'!$C$12*2</f>
        <v>501904</v>
      </c>
      <c r="C13" s="88">
        <f>'MONTHLY STATS'!$C$27*2</f>
        <v>226104</v>
      </c>
      <c r="D13" s="88">
        <f>'MONTHLY STATS'!$C$42*2</f>
        <v>126078</v>
      </c>
      <c r="E13" s="88">
        <f>'MONTHLY STATS'!$C$57*2</f>
        <v>793172</v>
      </c>
      <c r="F13" s="88">
        <f>'MONTHLY STATS'!$C$72*2</f>
        <v>530564</v>
      </c>
      <c r="G13" s="88">
        <f>'MONTHLY STATS'!$C$87*2</f>
        <v>217270</v>
      </c>
      <c r="H13" s="88">
        <f>'MONTHLY STATS'!$C$102*2</f>
        <v>294266</v>
      </c>
      <c r="I13" s="88">
        <f>'MONTHLY STATS'!$C$117*2</f>
        <v>567078</v>
      </c>
      <c r="J13" s="88">
        <f>'MONTHLY STATS'!$C$132*2</f>
        <v>694800</v>
      </c>
      <c r="K13" s="88">
        <f>'MONTHLY STATS'!$C$147*2</f>
        <v>844618</v>
      </c>
      <c r="L13" s="88">
        <f>'MONTHLY STATS'!$C$162*2</f>
        <v>112394</v>
      </c>
      <c r="M13" s="88">
        <f>'MONTHLY STATS'!$C$177*2</f>
        <v>811392</v>
      </c>
      <c r="N13" s="88">
        <f>'MONTHLY STATS'!$C$192*2</f>
        <v>140964</v>
      </c>
      <c r="O13" s="89">
        <f t="shared" si="0"/>
        <v>5860604</v>
      </c>
      <c r="P13" s="82"/>
    </row>
    <row r="14" spans="1:16" ht="15">
      <c r="A14" s="87">
        <f>DATE(2019,11,1)</f>
        <v>43770</v>
      </c>
      <c r="B14" s="88">
        <f>'MONTHLY STATS'!$C$13*2</f>
        <v>544836</v>
      </c>
      <c r="C14" s="88">
        <f>'MONTHLY STATS'!$C$28*2</f>
        <v>233310</v>
      </c>
      <c r="D14" s="88">
        <f>'MONTHLY STATS'!$C$43*2</f>
        <v>128680</v>
      </c>
      <c r="E14" s="88">
        <f>'MONTHLY STATS'!$C$58*2</f>
        <v>839574</v>
      </c>
      <c r="F14" s="88">
        <f>'MONTHLY STATS'!$C$73*2</f>
        <v>577528</v>
      </c>
      <c r="G14" s="88">
        <f>'MONTHLY STATS'!$C$88*2</f>
        <v>217956</v>
      </c>
      <c r="H14" s="88">
        <f>'MONTHLY STATS'!$C$103*2</f>
        <v>295218</v>
      </c>
      <c r="I14" s="88">
        <f>'MONTHLY STATS'!$C$118*2</f>
        <v>582042</v>
      </c>
      <c r="J14" s="88">
        <f>'MONTHLY STATS'!$C$133*2</f>
        <v>735812</v>
      </c>
      <c r="K14" s="88">
        <f>'MONTHLY STATS'!$C$148*2</f>
        <v>869686</v>
      </c>
      <c r="L14" s="88">
        <f>'MONTHLY STATS'!$C$163*2</f>
        <v>112080</v>
      </c>
      <c r="M14" s="88">
        <f>'MONTHLY STATS'!$C$178*2</f>
        <v>820948</v>
      </c>
      <c r="N14" s="88">
        <f>'MONTHLY STATS'!$C$193*2</f>
        <v>146112</v>
      </c>
      <c r="O14" s="89">
        <f t="shared" si="0"/>
        <v>6103782</v>
      </c>
      <c r="P14" s="82"/>
    </row>
    <row r="15" spans="1:16" ht="15">
      <c r="A15" s="87">
        <f>DATE(2019,12,1)</f>
        <v>43800</v>
      </c>
      <c r="B15" s="88">
        <f>'MONTHLY STATS'!$C$14*2</f>
        <v>564690</v>
      </c>
      <c r="C15" s="88">
        <f>'MONTHLY STATS'!$C$29*2</f>
        <v>230978</v>
      </c>
      <c r="D15" s="88">
        <f>'MONTHLY STATS'!$C$44*2</f>
        <v>136940</v>
      </c>
      <c r="E15" s="88">
        <f>'MONTHLY STATS'!$C$59*2</f>
        <v>796040</v>
      </c>
      <c r="F15" s="88">
        <f>'MONTHLY STATS'!$C$74*2</f>
        <v>604618</v>
      </c>
      <c r="G15" s="88">
        <f>'MONTHLY STATS'!$C$89*2</f>
        <v>231648</v>
      </c>
      <c r="H15" s="88">
        <f>'MONTHLY STATS'!$C$104*2</f>
        <v>293630</v>
      </c>
      <c r="I15" s="88">
        <f>'MONTHLY STATS'!$C$119*2</f>
        <v>629628</v>
      </c>
      <c r="J15" s="88">
        <f>'MONTHLY STATS'!$C$134*2</f>
        <v>751558</v>
      </c>
      <c r="K15" s="88">
        <f>'MONTHLY STATS'!$C$149*2</f>
        <v>849840</v>
      </c>
      <c r="L15" s="88">
        <f>'MONTHLY STATS'!$C$164*2</f>
        <v>115594</v>
      </c>
      <c r="M15" s="88">
        <f>'MONTHLY STATS'!$C$179*2</f>
        <v>873976</v>
      </c>
      <c r="N15" s="88">
        <f>'MONTHLY STATS'!$C$194*2</f>
        <v>149990</v>
      </c>
      <c r="O15" s="89">
        <f t="shared" si="0"/>
        <v>6229130</v>
      </c>
      <c r="P15" s="82"/>
    </row>
    <row r="16" spans="1:16" ht="15">
      <c r="A16" s="87">
        <f>DATE(2020,1,1)</f>
        <v>43831</v>
      </c>
      <c r="B16" s="88">
        <f>'MONTHLY STATS'!$C$15*2</f>
        <v>489882</v>
      </c>
      <c r="C16" s="88">
        <f>'MONTHLY STATS'!$C$30*2</f>
        <v>208334</v>
      </c>
      <c r="D16" s="88">
        <f>'MONTHLY STATS'!$C$45*2</f>
        <v>128374</v>
      </c>
      <c r="E16" s="88">
        <f>'MONTHLY STATS'!$C$60*2</f>
        <v>785614</v>
      </c>
      <c r="F16" s="88">
        <f>'MONTHLY STATS'!$C$75*2</f>
        <v>536596</v>
      </c>
      <c r="G16" s="88">
        <f>'MONTHLY STATS'!$C$90*2</f>
        <v>216130</v>
      </c>
      <c r="H16" s="88">
        <f>'MONTHLY STATS'!$C$105*2</f>
        <v>276072</v>
      </c>
      <c r="I16" s="88">
        <f>'MONTHLY STATS'!$C$120*2</f>
        <v>570534</v>
      </c>
      <c r="J16" s="88">
        <f>'MONTHLY STATS'!$C$135*2</f>
        <v>661226</v>
      </c>
      <c r="K16" s="88">
        <f>'MONTHLY STATS'!$C$150*2</f>
        <v>825448</v>
      </c>
      <c r="L16" s="88">
        <f>'MONTHLY STATS'!$C$165*2</f>
        <v>97868</v>
      </c>
      <c r="M16" s="88">
        <f>'MONTHLY STATS'!$C$180*2</f>
        <v>827410</v>
      </c>
      <c r="N16" s="88">
        <f>'MONTHLY STATS'!$C$195*2</f>
        <v>146556</v>
      </c>
      <c r="O16" s="89">
        <f aca="true" t="shared" si="1" ref="O16:O21">SUM(B16:N16)</f>
        <v>5770044</v>
      </c>
      <c r="P16" s="82"/>
    </row>
    <row r="17" spans="1:16" ht="15">
      <c r="A17" s="87">
        <f>DATE(2020,2,1)</f>
        <v>43862</v>
      </c>
      <c r="B17" s="88">
        <f>'MONTHLY STATS'!$C$16*2</f>
        <v>521882</v>
      </c>
      <c r="C17" s="88">
        <f>'MONTHLY STATS'!$C$31*2</f>
        <v>246994</v>
      </c>
      <c r="D17" s="88">
        <f>'MONTHLY STATS'!$C$46*2</f>
        <v>138854</v>
      </c>
      <c r="E17" s="88">
        <f>'MONTHLY STATS'!$C$61*2</f>
        <v>867312</v>
      </c>
      <c r="F17" s="88">
        <f>'MONTHLY STATS'!$C$76*2</f>
        <v>581048</v>
      </c>
      <c r="G17" s="88">
        <f>'MONTHLY STATS'!$C$91*2</f>
        <v>245018</v>
      </c>
      <c r="H17" s="88">
        <f>'MONTHLY STATS'!$C$106*2</f>
        <v>304264</v>
      </c>
      <c r="I17" s="88">
        <f>'MONTHLY STATS'!$C$121*2</f>
        <v>605210</v>
      </c>
      <c r="J17" s="88">
        <f>'MONTHLY STATS'!$C$136*2</f>
        <v>749418</v>
      </c>
      <c r="K17" s="88">
        <f>'MONTHLY STATS'!$C$151*2</f>
        <v>871380</v>
      </c>
      <c r="L17" s="88">
        <f>'MONTHLY STATS'!$C$166*2</f>
        <v>115286</v>
      </c>
      <c r="M17" s="88">
        <f>'MONTHLY STATS'!$C$181*2</f>
        <v>861158</v>
      </c>
      <c r="N17" s="88">
        <f>'MONTHLY STATS'!$C$196*2</f>
        <v>158994</v>
      </c>
      <c r="O17" s="89">
        <f t="shared" si="1"/>
        <v>6266818</v>
      </c>
      <c r="P17" s="82"/>
    </row>
    <row r="18" spans="1:16" ht="15">
      <c r="A18" s="87">
        <f>DATE(2020,3,1)</f>
        <v>43891</v>
      </c>
      <c r="B18" s="88">
        <f>'MONTHLY STATS'!$C$17*2</f>
        <v>267576</v>
      </c>
      <c r="C18" s="88">
        <f>'MONTHLY STATS'!$C$32*2</f>
        <v>121232</v>
      </c>
      <c r="D18" s="88">
        <f>'MONTHLY STATS'!$C$47*2</f>
        <v>73032</v>
      </c>
      <c r="E18" s="88">
        <f>'MONTHLY STATS'!$C$62*2</f>
        <v>376826</v>
      </c>
      <c r="F18" s="88">
        <f>'MONTHLY STATS'!$C$77*2</f>
        <v>288354</v>
      </c>
      <c r="G18" s="88">
        <f>'MONTHLY STATS'!$C$92*2</f>
        <v>126500</v>
      </c>
      <c r="H18" s="88">
        <f>'MONTHLY STATS'!$C$107*2</f>
        <v>167646</v>
      </c>
      <c r="I18" s="88">
        <f>'MONTHLY STATS'!$C$122*2</f>
        <v>319142</v>
      </c>
      <c r="J18" s="88">
        <f>'MONTHLY STATS'!$C$137*2</f>
        <v>362394</v>
      </c>
      <c r="K18" s="88">
        <f>'MONTHLY STATS'!$C$152*2</f>
        <v>395680</v>
      </c>
      <c r="L18" s="88">
        <f>'MONTHLY STATS'!$C$167*2</f>
        <v>63840</v>
      </c>
      <c r="M18" s="88">
        <f>'MONTHLY STATS'!$C$182*2</f>
        <v>427862</v>
      </c>
      <c r="N18" s="88">
        <f>'MONTHLY STATS'!$C$197*2</f>
        <v>86874</v>
      </c>
      <c r="O18" s="89">
        <f t="shared" si="1"/>
        <v>3076958</v>
      </c>
      <c r="P18" s="82"/>
    </row>
    <row r="19" spans="1:16" ht="15">
      <c r="A19" s="87">
        <f>DATE(2020,4,1)</f>
        <v>43922</v>
      </c>
      <c r="B19" s="88">
        <f>'MONTHLY STATS'!$C$18*2</f>
        <v>0</v>
      </c>
      <c r="C19" s="88">
        <f>'MONTHLY STATS'!$C$33*2</f>
        <v>0</v>
      </c>
      <c r="D19" s="88">
        <f>'MONTHLY STATS'!$C$48*2</f>
        <v>0</v>
      </c>
      <c r="E19" s="88">
        <f>'MONTHLY STATS'!$C$63*2</f>
        <v>0</v>
      </c>
      <c r="F19" s="88">
        <f>'MONTHLY STATS'!$C$78*2</f>
        <v>0</v>
      </c>
      <c r="G19" s="88">
        <f>'MONTHLY STATS'!$C$93*2</f>
        <v>0</v>
      </c>
      <c r="H19" s="88">
        <f>'MONTHLY STATS'!$C$108*2</f>
        <v>0</v>
      </c>
      <c r="I19" s="88">
        <f>'MONTHLY STATS'!$C$123*2</f>
        <v>0</v>
      </c>
      <c r="J19" s="88">
        <f>'MONTHLY STATS'!$C$138*2</f>
        <v>0</v>
      </c>
      <c r="K19" s="88">
        <f>'MONTHLY STATS'!$C$153*2</f>
        <v>0</v>
      </c>
      <c r="L19" s="88">
        <f>'MONTHLY STATS'!$C$168*2</f>
        <v>0</v>
      </c>
      <c r="M19" s="88">
        <f>'MONTHLY STATS'!$C$183*2</f>
        <v>0</v>
      </c>
      <c r="N19" s="88">
        <f>'MONTHLY STATS'!$C$198*2</f>
        <v>0</v>
      </c>
      <c r="O19" s="89">
        <f t="shared" si="1"/>
        <v>0</v>
      </c>
      <c r="P19" s="82"/>
    </row>
    <row r="20" spans="1:16" ht="15">
      <c r="A20" s="87">
        <f>DATE(2020,5,1)</f>
        <v>43952</v>
      </c>
      <c r="B20" s="88">
        <f>'MONTHLY STATS'!$C$19*2</f>
        <v>0</v>
      </c>
      <c r="C20" s="88">
        <f>'MONTHLY STATS'!$C$34*2</f>
        <v>0</v>
      </c>
      <c r="D20" s="88">
        <f>'MONTHLY STATS'!$C$49*2</f>
        <v>0</v>
      </c>
      <c r="E20" s="88">
        <f>'MONTHLY STATS'!$C$64*2</f>
        <v>0</v>
      </c>
      <c r="F20" s="88">
        <f>'MONTHLY STATS'!$C$79*2</f>
        <v>0</v>
      </c>
      <c r="G20" s="88">
        <f>'MONTHLY STATS'!$C$94*2</f>
        <v>0</v>
      </c>
      <c r="H20" s="88">
        <f>'MONTHLY STATS'!$C$109*2</f>
        <v>0</v>
      </c>
      <c r="I20" s="88">
        <f>'MONTHLY STATS'!$C$124*2</f>
        <v>0</v>
      </c>
      <c r="J20" s="88">
        <f>'MONTHLY STATS'!$C$139*2</f>
        <v>0</v>
      </c>
      <c r="K20" s="88">
        <f>'MONTHLY STATS'!$C$154*2</f>
        <v>0</v>
      </c>
      <c r="L20" s="88">
        <f>'MONTHLY STATS'!$C$169*2</f>
        <v>0</v>
      </c>
      <c r="M20" s="88">
        <f>'MONTHLY STATS'!$C$184*2</f>
        <v>0</v>
      </c>
      <c r="N20" s="88">
        <f>'MONTHLY STATS'!$C$199*2</f>
        <v>0</v>
      </c>
      <c r="O20" s="89">
        <f t="shared" si="1"/>
        <v>0</v>
      </c>
      <c r="P20" s="82"/>
    </row>
    <row r="21" spans="1:16" ht="15">
      <c r="A21" s="87">
        <v>44002</v>
      </c>
      <c r="B21" s="88">
        <f>'MONTHLY STATS'!$C$20*2</f>
        <v>305622</v>
      </c>
      <c r="C21" s="88">
        <f>'MONTHLY STATS'!$C$35*2</f>
        <v>167560</v>
      </c>
      <c r="D21" s="88">
        <f>'MONTHLY STATS'!$C$50*2</f>
        <v>98630</v>
      </c>
      <c r="E21" s="88">
        <f>'MONTHLY STATS'!$C$65*2</f>
        <v>217312</v>
      </c>
      <c r="F21" s="88">
        <f>'MONTHLY STATS'!$C$80*2</f>
        <v>461014</v>
      </c>
      <c r="G21" s="88">
        <f>'MONTHLY STATS'!$C$95*2</f>
        <v>190432</v>
      </c>
      <c r="H21" s="88">
        <f>'MONTHLY STATS'!$C$110*2</f>
        <v>154238</v>
      </c>
      <c r="I21" s="88">
        <f>'MONTHLY STATS'!$C$125*2</f>
        <v>387722</v>
      </c>
      <c r="J21" s="88">
        <f>'MONTHLY STATS'!$C$140*2</f>
        <v>364278</v>
      </c>
      <c r="K21" s="88">
        <f>'MONTHLY STATS'!$C$155*2</f>
        <v>234160</v>
      </c>
      <c r="L21" s="88">
        <f>'MONTHLY STATS'!$C$170*2</f>
        <v>84540</v>
      </c>
      <c r="M21" s="88">
        <f>'MONTHLY STATS'!$C$185*2</f>
        <v>727498</v>
      </c>
      <c r="N21" s="88">
        <f>'MONTHLY STATS'!$C$200*2</f>
        <v>94208</v>
      </c>
      <c r="O21" s="89">
        <f t="shared" si="1"/>
        <v>3487214</v>
      </c>
      <c r="P21" s="82"/>
    </row>
    <row r="22" spans="1:16" ht="15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9"/>
      <c r="P22" s="82"/>
    </row>
    <row r="23" spans="1:16" ht="15">
      <c r="A23" s="90" t="s">
        <v>29</v>
      </c>
      <c r="B23" s="89">
        <f aca="true" t="shared" si="2" ref="B23:O23">SUM(B10:B21)</f>
        <v>4805846</v>
      </c>
      <c r="C23" s="89">
        <f t="shared" si="2"/>
        <v>2189034</v>
      </c>
      <c r="D23" s="89">
        <f t="shared" si="2"/>
        <v>1233428</v>
      </c>
      <c r="E23" s="89">
        <f t="shared" si="2"/>
        <v>7234040</v>
      </c>
      <c r="F23" s="89">
        <f t="shared" si="2"/>
        <v>5296580</v>
      </c>
      <c r="G23" s="89">
        <f t="shared" si="2"/>
        <v>2112764</v>
      </c>
      <c r="H23" s="89">
        <f t="shared" si="2"/>
        <v>2681142</v>
      </c>
      <c r="I23" s="89">
        <f t="shared" si="2"/>
        <v>5559764</v>
      </c>
      <c r="J23" s="89">
        <f t="shared" si="2"/>
        <v>6518788</v>
      </c>
      <c r="K23" s="89">
        <f t="shared" si="2"/>
        <v>7459178</v>
      </c>
      <c r="L23" s="89">
        <f t="shared" si="2"/>
        <v>1068246</v>
      </c>
      <c r="M23" s="89">
        <f t="shared" si="2"/>
        <v>8023766</v>
      </c>
      <c r="N23" s="89">
        <f t="shared" si="2"/>
        <v>1386472</v>
      </c>
      <c r="O23" s="89">
        <f t="shared" si="2"/>
        <v>55569048</v>
      </c>
      <c r="P23" s="82"/>
    </row>
    <row r="24" spans="1:16" ht="15.75" thickBot="1">
      <c r="A24" s="91"/>
      <c r="B24" s="89"/>
      <c r="C24" s="89"/>
      <c r="D24" s="89"/>
      <c r="E24" s="88"/>
      <c r="F24" s="88"/>
      <c r="G24" s="88"/>
      <c r="H24" s="88"/>
      <c r="I24" s="88"/>
      <c r="J24" s="89"/>
      <c r="K24" s="89"/>
      <c r="L24" s="89"/>
      <c r="M24" s="89"/>
      <c r="N24" s="89"/>
      <c r="O24" s="89"/>
      <c r="P24" s="82"/>
    </row>
    <row r="25" spans="1:15" ht="15" thickTop="1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4"/>
      <c r="L25" s="94"/>
      <c r="M25" s="94"/>
      <c r="N25" s="94"/>
      <c r="O25" s="94"/>
    </row>
    <row r="26" spans="1:15" ht="23.25" thickBot="1">
      <c r="A26" s="95" t="s">
        <v>30</v>
      </c>
      <c r="B26" s="96"/>
      <c r="C26" s="97"/>
      <c r="D26" s="97"/>
      <c r="E26" s="97"/>
      <c r="F26" s="97"/>
      <c r="G26" s="97"/>
      <c r="H26" s="97"/>
      <c r="I26" s="97"/>
      <c r="J26" s="97"/>
      <c r="K26" s="98"/>
      <c r="L26" s="98"/>
      <c r="M26" s="98"/>
      <c r="N26" s="98"/>
      <c r="O26" s="98"/>
    </row>
    <row r="27" spans="1:16" ht="15.75" thickTop="1">
      <c r="A27" s="99"/>
      <c r="B27" s="100"/>
      <c r="C27" s="100"/>
      <c r="D27" s="100"/>
      <c r="E27" s="101"/>
      <c r="F27" s="101"/>
      <c r="G27" s="101"/>
      <c r="H27" s="101"/>
      <c r="I27" s="101"/>
      <c r="J27" s="100"/>
      <c r="K27" s="102"/>
      <c r="L27" s="102"/>
      <c r="M27" s="102"/>
      <c r="N27" s="102"/>
      <c r="O27" s="103" t="s">
        <v>25</v>
      </c>
      <c r="P27" s="82"/>
    </row>
    <row r="28" spans="1:16" ht="15">
      <c r="A28" s="104" t="s">
        <v>26</v>
      </c>
      <c r="B28" s="83" t="s">
        <v>13</v>
      </c>
      <c r="C28" s="83" t="s">
        <v>15</v>
      </c>
      <c r="D28" s="83" t="s">
        <v>56</v>
      </c>
      <c r="E28" s="274" t="s">
        <v>62</v>
      </c>
      <c r="F28" s="83" t="s">
        <v>16</v>
      </c>
      <c r="G28" s="83" t="s">
        <v>61</v>
      </c>
      <c r="H28" s="83" t="s">
        <v>17</v>
      </c>
      <c r="I28" s="83" t="s">
        <v>55</v>
      </c>
      <c r="J28" s="83" t="s">
        <v>27</v>
      </c>
      <c r="K28" s="105" t="s">
        <v>57</v>
      </c>
      <c r="L28" s="105" t="s">
        <v>53</v>
      </c>
      <c r="M28" s="105" t="s">
        <v>19</v>
      </c>
      <c r="N28" s="105" t="s">
        <v>54</v>
      </c>
      <c r="O28" s="105" t="s">
        <v>28</v>
      </c>
      <c r="P28" s="82"/>
    </row>
    <row r="29" spans="1:16" ht="15.75" thickBot="1">
      <c r="A29" s="106"/>
      <c r="B29" s="107"/>
      <c r="C29" s="107"/>
      <c r="D29" s="107"/>
      <c r="E29" s="275"/>
      <c r="F29" s="83"/>
      <c r="G29" s="83"/>
      <c r="H29" s="83"/>
      <c r="I29" s="83"/>
      <c r="J29" s="107"/>
      <c r="K29" s="108"/>
      <c r="L29" s="108"/>
      <c r="M29" s="108"/>
      <c r="N29" s="108"/>
      <c r="O29" s="108"/>
      <c r="P29" s="82"/>
    </row>
    <row r="30" spans="1:16" ht="15" thickTop="1">
      <c r="A30" s="109"/>
      <c r="B30" s="110"/>
      <c r="C30" s="110"/>
      <c r="D30" s="110"/>
      <c r="E30" s="111"/>
      <c r="F30" s="111"/>
      <c r="G30" s="111"/>
      <c r="H30" s="111"/>
      <c r="I30" s="111"/>
      <c r="J30" s="110"/>
      <c r="K30" s="112"/>
      <c r="L30" s="112"/>
      <c r="M30" s="112"/>
      <c r="N30" s="112"/>
      <c r="O30" s="112"/>
      <c r="P30" s="82"/>
    </row>
    <row r="31" spans="1:16" ht="15">
      <c r="A31" s="87">
        <f>DATE(2019,7,1)</f>
        <v>43647</v>
      </c>
      <c r="B31" s="88">
        <f>'MONTHLY STATS'!$K$9*0.21</f>
        <v>3064505.5707</v>
      </c>
      <c r="C31" s="88">
        <f>'MONTHLY STATS'!$K$24*0.21</f>
        <v>1462853.8743</v>
      </c>
      <c r="D31" s="88">
        <f>'MONTHLY STATS'!$K$39*0.21</f>
        <v>684695.0817</v>
      </c>
      <c r="E31" s="88">
        <f>'MONTHLY STATS'!$K$54*0.21</f>
        <v>4293878.6625</v>
      </c>
      <c r="F31" s="88">
        <f>'MONTHLY STATS'!$K$69*0.21</f>
        <v>2956269.6954</v>
      </c>
      <c r="G31" s="88">
        <f>'MONTHLY STATS'!$K$84*0.21</f>
        <v>935961.4299000001</v>
      </c>
      <c r="H31" s="88">
        <f>'MONTHLY STATS'!$K$99*0.21</f>
        <v>1101109.212</v>
      </c>
      <c r="I31" s="88">
        <f>'MONTHLY STATS'!$K$114*0.21</f>
        <v>2638122.8496</v>
      </c>
      <c r="J31" s="88">
        <f>'MONTHLY STATS'!$K$129*0.21</f>
        <v>3294768.9683999997</v>
      </c>
      <c r="K31" s="88">
        <f>'MONTHLY STATS'!$K$144*0.21</f>
        <v>3827720.778</v>
      </c>
      <c r="L31" s="88">
        <f>'MONTHLY STATS'!$K$159*0.21</f>
        <v>577273.8173999999</v>
      </c>
      <c r="M31" s="88">
        <f>'MONTHLY STATS'!$K$174*0.21</f>
        <v>4787594.2569</v>
      </c>
      <c r="N31" s="88">
        <f>'MONTHLY STATS'!$K$189*0.21</f>
        <v>713298.1547999999</v>
      </c>
      <c r="O31" s="89">
        <f aca="true" t="shared" si="3" ref="O31:O36">SUM(B31:N31)</f>
        <v>30338052.351600002</v>
      </c>
      <c r="P31" s="82"/>
    </row>
    <row r="32" spans="1:16" ht="15">
      <c r="A32" s="87">
        <f>DATE(2019,8,1)</f>
        <v>43678</v>
      </c>
      <c r="B32" s="88">
        <f>'MONTHLY STATS'!$K$10*0.21</f>
        <v>3045430.4958</v>
      </c>
      <c r="C32" s="88">
        <f>'MONTHLY STATS'!$K$25*0.21</f>
        <v>1462946.0684999998</v>
      </c>
      <c r="D32" s="88">
        <f>'MONTHLY STATS'!$K$40*0.21</f>
        <v>676743.2363999999</v>
      </c>
      <c r="E32" s="88">
        <f>'MONTHLY STATS'!$K$55*0.21</f>
        <v>4480740.0918</v>
      </c>
      <c r="F32" s="88">
        <f>'MONTHLY STATS'!$K$70*0.21</f>
        <v>3271877.1245999997</v>
      </c>
      <c r="G32" s="88">
        <f>'MONTHLY STATS'!$K$85*0.21</f>
        <v>1095307.4895</v>
      </c>
      <c r="H32" s="88">
        <f>'MONTHLY STATS'!$K$100*0.21</f>
        <v>1189395.375</v>
      </c>
      <c r="I32" s="88">
        <f>'MONTHLY STATS'!$K$115*0.21</f>
        <v>2712053.7380999997</v>
      </c>
      <c r="J32" s="88">
        <f>'MONTHLY STATS'!$K$130*0.21</f>
        <v>3485481.7787999995</v>
      </c>
      <c r="K32" s="88">
        <f>'MONTHLY STATS'!$K$145*0.21</f>
        <v>4099393.263</v>
      </c>
      <c r="L32" s="88">
        <f>'MONTHLY STATS'!$K$160*0.21</f>
        <v>621704.0802</v>
      </c>
      <c r="M32" s="88">
        <f>'MONTHLY STATS'!$K$175*0.21</f>
        <v>4872173.9535</v>
      </c>
      <c r="N32" s="88">
        <f>'MONTHLY STATS'!$K$190*0.21</f>
        <v>733278.1029</v>
      </c>
      <c r="O32" s="89">
        <f t="shared" si="3"/>
        <v>31746524.7981</v>
      </c>
      <c r="P32" s="82"/>
    </row>
    <row r="33" spans="1:16" ht="15">
      <c r="A33" s="87">
        <f>DATE(2019,9,1)</f>
        <v>43709</v>
      </c>
      <c r="B33" s="88">
        <f>'MONTHLY STATS'!$K$11*0.21</f>
        <v>2682516.9798</v>
      </c>
      <c r="C33" s="88">
        <f>'MONTHLY STATS'!$K$26*0.21</f>
        <v>1347099.7259999998</v>
      </c>
      <c r="D33" s="88">
        <f>'MONTHLY STATS'!$K$41*0.21</f>
        <v>653521.6779</v>
      </c>
      <c r="E33" s="88">
        <f>'MONTHLY STATS'!$K$56*0.21</f>
        <v>3975747.0711</v>
      </c>
      <c r="F33" s="88">
        <f>'MONTHLY STATS'!$K$71*0.21</f>
        <v>3075068.3208</v>
      </c>
      <c r="G33" s="88">
        <f>'MONTHLY STATS'!$K$86*0.21</f>
        <v>1064622.0311999999</v>
      </c>
      <c r="H33" s="88">
        <f>'MONTHLY STATS'!$K$101*0.21</f>
        <v>1067073.9975</v>
      </c>
      <c r="I33" s="88">
        <f>'MONTHLY STATS'!$K$116*0.21</f>
        <v>2580957.351</v>
      </c>
      <c r="J33" s="88">
        <f>'MONTHLY STATS'!$K$131*0.21</f>
        <v>3247922.0403</v>
      </c>
      <c r="K33" s="88">
        <f>'MONTHLY STATS'!$K$146*0.21</f>
        <v>3876567.9813</v>
      </c>
      <c r="L33" s="88">
        <f>'MONTHLY STATS'!$K$161*0.21</f>
        <v>566536.2191999999</v>
      </c>
      <c r="M33" s="88">
        <f>'MONTHLY STATS'!$K$176*0.21</f>
        <v>4521489.4557</v>
      </c>
      <c r="N33" s="88">
        <f>'MONTHLY STATS'!$K$191*0.21</f>
        <v>708002.1375</v>
      </c>
      <c r="O33" s="89">
        <f t="shared" si="3"/>
        <v>29367124.989299998</v>
      </c>
      <c r="P33" s="82"/>
    </row>
    <row r="34" spans="1:16" ht="15">
      <c r="A34" s="87">
        <f>DATE(2019,10,1)</f>
        <v>43739</v>
      </c>
      <c r="B34" s="88">
        <f>'MONTHLY STATS'!$K$12*0.21</f>
        <v>2808656.8460999997</v>
      </c>
      <c r="C34" s="88">
        <f>'MONTHLY STATS'!$K$27*0.21</f>
        <v>1270314.0954</v>
      </c>
      <c r="D34" s="88">
        <f>'MONTHLY STATS'!$K$42*0.21</f>
        <v>656377.9278000001</v>
      </c>
      <c r="E34" s="88">
        <f>'MONTHLY STATS'!$K$57*0.21</f>
        <v>3996958.6755</v>
      </c>
      <c r="F34" s="88">
        <f>'MONTHLY STATS'!$K$72*0.21</f>
        <v>3081834.2772</v>
      </c>
      <c r="G34" s="88">
        <f>'MONTHLY STATS'!$K$87*0.21</f>
        <v>1071722.4966</v>
      </c>
      <c r="H34" s="88">
        <f>'MONTHLY STATS'!$K$102*0.21</f>
        <v>1134567.2541</v>
      </c>
      <c r="I34" s="88">
        <f>'MONTHLY STATS'!$K$117*0.21</f>
        <v>2500454.2626</v>
      </c>
      <c r="J34" s="88">
        <f>'MONTHLY STATS'!$K$132*0.21</f>
        <v>3431365.9085999997</v>
      </c>
      <c r="K34" s="88">
        <f>'MONTHLY STATS'!$K$147*0.21</f>
        <v>3910565.9228999997</v>
      </c>
      <c r="L34" s="88">
        <f>'MONTHLY STATS'!$K$162*0.21</f>
        <v>591159.4878</v>
      </c>
      <c r="M34" s="88">
        <f>'MONTHLY STATS'!$K$177*0.21</f>
        <v>4577616.1599</v>
      </c>
      <c r="N34" s="88">
        <f>'MONTHLY STATS'!$K$192*0.21</f>
        <v>687542.0559</v>
      </c>
      <c r="O34" s="89">
        <f t="shared" si="3"/>
        <v>29719135.370399997</v>
      </c>
      <c r="P34" s="82"/>
    </row>
    <row r="35" spans="1:16" ht="15">
      <c r="A35" s="87">
        <f>DATE(2019,11,1)</f>
        <v>43770</v>
      </c>
      <c r="B35" s="88">
        <f>'MONTHLY STATS'!$K$13*0.21</f>
        <v>2933291.6571</v>
      </c>
      <c r="C35" s="88">
        <f>'MONTHLY STATS'!$K$28*0.21</f>
        <v>1336391.2107</v>
      </c>
      <c r="D35" s="88">
        <f>'MONTHLY STATS'!$K$43*0.21</f>
        <v>673998.1395</v>
      </c>
      <c r="E35" s="88">
        <f>'MONTHLY STATS'!$K$58*0.21</f>
        <v>4250414.3072999995</v>
      </c>
      <c r="F35" s="88">
        <f>'MONTHLY STATS'!$K$73*0.21</f>
        <v>3054671.8629</v>
      </c>
      <c r="G35" s="88">
        <f>'MONTHLY STATS'!$K$88*0.21</f>
        <v>1072822.3443</v>
      </c>
      <c r="H35" s="88">
        <f>'MONTHLY STATS'!$K$103*0.21</f>
        <v>1139863.5906</v>
      </c>
      <c r="I35" s="88">
        <f>'MONTHLY STATS'!$K$118*0.21</f>
        <v>2542840.0094999997</v>
      </c>
      <c r="J35" s="88">
        <f>'MONTHLY STATS'!$K$133*0.21</f>
        <v>3481744.833</v>
      </c>
      <c r="K35" s="88">
        <f>'MONTHLY STATS'!$K$148*0.21</f>
        <v>4147627.5014999993</v>
      </c>
      <c r="L35" s="88">
        <f>'MONTHLY STATS'!$K$163*0.21</f>
        <v>613487.6916</v>
      </c>
      <c r="M35" s="88">
        <f>'MONTHLY STATS'!$K$178*0.21</f>
        <v>4373399.093699999</v>
      </c>
      <c r="N35" s="88">
        <f>'MONTHLY STATS'!$K$193*0.21</f>
        <v>709275.042</v>
      </c>
      <c r="O35" s="89">
        <f t="shared" si="3"/>
        <v>30329827.283699997</v>
      </c>
      <c r="P35" s="82"/>
    </row>
    <row r="36" spans="1:16" ht="15">
      <c r="A36" s="87">
        <f>DATE(2019,12,1)</f>
        <v>43800</v>
      </c>
      <c r="B36" s="88">
        <f>'MONTHLY STATS'!$K$14*0.21</f>
        <v>3075784.9269</v>
      </c>
      <c r="C36" s="88">
        <f>'MONTHLY STATS'!$K$29*0.21</f>
        <v>1317813.4179</v>
      </c>
      <c r="D36" s="88">
        <f>'MONTHLY STATS'!$K$44*0.21</f>
        <v>718635.1599</v>
      </c>
      <c r="E36" s="88">
        <f>'MONTHLY STATS'!$K$59*0.21</f>
        <v>4116495.5244</v>
      </c>
      <c r="F36" s="88">
        <f>'MONTHLY STATS'!$K$74*0.21</f>
        <v>3126436.6202999996</v>
      </c>
      <c r="G36" s="88">
        <f>'MONTHLY STATS'!$K$89*0.21</f>
        <v>1127257.8050999998</v>
      </c>
      <c r="H36" s="88">
        <f>'MONTHLY STATS'!$K$104*0.21</f>
        <v>1135280.3343</v>
      </c>
      <c r="I36" s="88">
        <f>'MONTHLY STATS'!$K$119*0.21</f>
        <v>2673491.9442</v>
      </c>
      <c r="J36" s="88">
        <f>'MONTHLY STATS'!$K$134*0.21</f>
        <v>3293908.8315</v>
      </c>
      <c r="K36" s="88">
        <f>'MONTHLY STATS'!$K$149*0.21</f>
        <v>4187187.7844999996</v>
      </c>
      <c r="L36" s="88">
        <f>'MONTHLY STATS'!$K$164*0.21</f>
        <v>585799.5402</v>
      </c>
      <c r="M36" s="88">
        <f>'MONTHLY STATS'!$K$179*0.21</f>
        <v>4622112.4278</v>
      </c>
      <c r="N36" s="88">
        <f>'MONTHLY STATS'!$K$194*0.21</f>
        <v>742266.7329000001</v>
      </c>
      <c r="O36" s="89">
        <f t="shared" si="3"/>
        <v>30722471.0499</v>
      </c>
      <c r="P36" s="82"/>
    </row>
    <row r="37" spans="1:16" ht="15">
      <c r="A37" s="87">
        <f>DATE(2020,1,1)</f>
        <v>43831</v>
      </c>
      <c r="B37" s="88">
        <f>'MONTHLY STATS'!$K$15*0.21</f>
        <v>2631224.3013</v>
      </c>
      <c r="C37" s="88">
        <f>'MONTHLY STATS'!$K$30*0.21</f>
        <v>1183257.369</v>
      </c>
      <c r="D37" s="88">
        <f>'MONTHLY STATS'!$K$45*0.21</f>
        <v>678337.4808</v>
      </c>
      <c r="E37" s="88">
        <f>'MONTHLY STATS'!$K$60*0.21</f>
        <v>4016722.5461999997</v>
      </c>
      <c r="F37" s="88">
        <f>'MONTHLY STATS'!$K$75*0.21</f>
        <v>3030307.1673</v>
      </c>
      <c r="G37" s="88">
        <f>'MONTHLY STATS'!$K$90*0.21</f>
        <v>1065925.1631</v>
      </c>
      <c r="H37" s="88">
        <f>'MONTHLY STATS'!$K$105*0.21</f>
        <v>1089909.2463</v>
      </c>
      <c r="I37" s="88">
        <f>'MONTHLY STATS'!$K$120*0.21</f>
        <v>2631734.049</v>
      </c>
      <c r="J37" s="88">
        <f>'MONTHLY STATS'!$K$135*0.21</f>
        <v>3163625.7219000002</v>
      </c>
      <c r="K37" s="88">
        <f>'MONTHLY STATS'!$K$150*0.21</f>
        <v>3977640.8784</v>
      </c>
      <c r="L37" s="88">
        <f>'MONTHLY STATS'!$K$165*0.21</f>
        <v>537004.5029999999</v>
      </c>
      <c r="M37" s="88">
        <f>'MONTHLY STATS'!$K$180*0.21</f>
        <v>4445968.9743</v>
      </c>
      <c r="N37" s="88">
        <f>'MONTHLY STATS'!$K$195*0.21</f>
        <v>716815.5582</v>
      </c>
      <c r="O37" s="89">
        <f aca="true" t="shared" si="4" ref="O37:O42">SUM(B37:N37)</f>
        <v>29168472.9588</v>
      </c>
      <c r="P37" s="82"/>
    </row>
    <row r="38" spans="1:16" ht="15">
      <c r="A38" s="87">
        <f>DATE(2020,2,1)</f>
        <v>43862</v>
      </c>
      <c r="B38" s="88">
        <f>'MONTHLY STATS'!$K$16*0.21</f>
        <v>2901212.4225</v>
      </c>
      <c r="C38" s="88">
        <f>'MONTHLY STATS'!$K$31*0.21</f>
        <v>1409306.7072</v>
      </c>
      <c r="D38" s="88">
        <f>'MONTHLY STATS'!$K$46*0.21</f>
        <v>738055.9556999999</v>
      </c>
      <c r="E38" s="88">
        <f>'MONTHLY STATS'!$K$61*0.21</f>
        <v>4329328.5189</v>
      </c>
      <c r="F38" s="88">
        <f>'MONTHLY STATS'!$K$76*0.21</f>
        <v>3224181.9981</v>
      </c>
      <c r="G38" s="88">
        <f>'MONTHLY STATS'!$K$91*0.21</f>
        <v>1248158.6879999998</v>
      </c>
      <c r="H38" s="88">
        <f>'MONTHLY STATS'!$K$106*0.21</f>
        <v>1220272.6934999998</v>
      </c>
      <c r="I38" s="88">
        <f>'MONTHLY STATS'!$K$121*0.21</f>
        <v>2965960.011</v>
      </c>
      <c r="J38" s="88">
        <f>'MONTHLY STATS'!$K$136*0.21</f>
        <v>3584589.4644</v>
      </c>
      <c r="K38" s="88">
        <f>'MONTHLY STATS'!$K$151*0.21</f>
        <v>3952444.6458</v>
      </c>
      <c r="L38" s="88">
        <f>'MONTHLY STATS'!$K$166*0.21</f>
        <v>629510.4774</v>
      </c>
      <c r="M38" s="88">
        <f>'MONTHLY STATS'!$K$181*0.21</f>
        <v>4470248.3616</v>
      </c>
      <c r="N38" s="88">
        <f>'MONTHLY STATS'!$K$196*0.21</f>
        <v>813178.7412</v>
      </c>
      <c r="O38" s="89">
        <f t="shared" si="4"/>
        <v>31486448.6853</v>
      </c>
      <c r="P38" s="82"/>
    </row>
    <row r="39" spans="1:16" ht="15">
      <c r="A39" s="87">
        <f>DATE(2020,3,1)</f>
        <v>43891</v>
      </c>
      <c r="B39" s="88">
        <f>'MONTHLY STATS'!$K$17*0.21</f>
        <v>1479497.1786</v>
      </c>
      <c r="C39" s="88">
        <f>'MONTHLY STATS'!$K$32*0.21</f>
        <v>744255.0989999999</v>
      </c>
      <c r="D39" s="88">
        <f>'MONTHLY STATS'!$K$47*0.21</f>
        <v>400390.0068</v>
      </c>
      <c r="E39" s="88">
        <f>'MONTHLY STATS'!$K$62*0.21</f>
        <v>1998812.8208999997</v>
      </c>
      <c r="F39" s="88">
        <f>'MONTHLY STATS'!$K$77*0.21</f>
        <v>1521065.7777</v>
      </c>
      <c r="G39" s="88">
        <f>'MONTHLY STATS'!$K$92*0.21</f>
        <v>623640.3705</v>
      </c>
      <c r="H39" s="88">
        <f>'MONTHLY STATS'!$K$107*0.21</f>
        <v>702093.7664999999</v>
      </c>
      <c r="I39" s="88">
        <f>'MONTHLY STATS'!$K$122*0.21</f>
        <v>1526959.0581</v>
      </c>
      <c r="J39" s="88">
        <f>'MONTHLY STATS'!$K$137*0.21</f>
        <v>1797040.6376999998</v>
      </c>
      <c r="K39" s="88">
        <f>'MONTHLY STATS'!$K$152*0.21</f>
        <v>2026151.1416999998</v>
      </c>
      <c r="L39" s="88">
        <f>'MONTHLY STATS'!$K$167*0.21</f>
        <v>382372.3176</v>
      </c>
      <c r="M39" s="88">
        <f>'MONTHLY STATS'!$K$182*0.21</f>
        <v>2451678.8205</v>
      </c>
      <c r="N39" s="88">
        <f>'MONTHLY STATS'!$K$197*0.21</f>
        <v>445820.44709999993</v>
      </c>
      <c r="O39" s="89">
        <f t="shared" si="4"/>
        <v>16099777.442699999</v>
      </c>
      <c r="P39" s="82"/>
    </row>
    <row r="40" spans="1:16" ht="15">
      <c r="A40" s="87">
        <f>DATE(2020,4,1)</f>
        <v>43922</v>
      </c>
      <c r="B40" s="88">
        <f>'MONTHLY STATS'!$K$18*0.21</f>
        <v>0</v>
      </c>
      <c r="C40" s="88">
        <f>'MONTHLY STATS'!$K$33*0.21</f>
        <v>0</v>
      </c>
      <c r="D40" s="88">
        <f>'MONTHLY STATS'!$K$48*0.21</f>
        <v>0</v>
      </c>
      <c r="E40" s="88">
        <f>'MONTHLY STATS'!$K$63*0.21</f>
        <v>0</v>
      </c>
      <c r="F40" s="88">
        <f>'MONTHLY STATS'!$K$78*0.21</f>
        <v>0</v>
      </c>
      <c r="G40" s="88">
        <f>'MONTHLY STATS'!$K$93*0.21</f>
        <v>0</v>
      </c>
      <c r="H40" s="88">
        <f>'MONTHLY STATS'!$K$108*0.21</f>
        <v>0</v>
      </c>
      <c r="I40" s="88">
        <f>'MONTHLY STATS'!$K$123*0.21</f>
        <v>0</v>
      </c>
      <c r="J40" s="88">
        <f>'MONTHLY STATS'!$K$138*0.21</f>
        <v>0</v>
      </c>
      <c r="K40" s="88">
        <f>'MONTHLY STATS'!$K$153*0.21</f>
        <v>0</v>
      </c>
      <c r="L40" s="88">
        <f>'MONTHLY STATS'!$K$168*0.21</f>
        <v>0</v>
      </c>
      <c r="M40" s="88">
        <f>'MONTHLY STATS'!$K$183*0.21</f>
        <v>0</v>
      </c>
      <c r="N40" s="88">
        <f>'MONTHLY STATS'!$K$198*0.21</f>
        <v>0</v>
      </c>
      <c r="O40" s="89">
        <f t="shared" si="4"/>
        <v>0</v>
      </c>
      <c r="P40" s="82"/>
    </row>
    <row r="41" spans="1:16" ht="15">
      <c r="A41" s="87">
        <f>DATE(2020,5,1)</f>
        <v>43952</v>
      </c>
      <c r="B41" s="88">
        <f>'MONTHLY STATS'!$K$19*0.21</f>
        <v>0</v>
      </c>
      <c r="C41" s="88">
        <f>'MONTHLY STATS'!$K$34*0.21</f>
        <v>0</v>
      </c>
      <c r="D41" s="88">
        <f>'MONTHLY STATS'!$K$49*0.21</f>
        <v>0</v>
      </c>
      <c r="E41" s="88">
        <f>'MONTHLY STATS'!$K$64*0.21</f>
        <v>0</v>
      </c>
      <c r="F41" s="88">
        <f>'MONTHLY STATS'!$K$79*0.21</f>
        <v>0</v>
      </c>
      <c r="G41" s="88">
        <f>'MONTHLY STATS'!$K$94*0.21</f>
        <v>0</v>
      </c>
      <c r="H41" s="88">
        <f>'MONTHLY STATS'!$K$109*0.21</f>
        <v>0</v>
      </c>
      <c r="I41" s="88">
        <f>'MONTHLY STATS'!$K$124*0.21</f>
        <v>0</v>
      </c>
      <c r="J41" s="88">
        <f>'MONTHLY STATS'!$K$139*0.21</f>
        <v>0</v>
      </c>
      <c r="K41" s="88">
        <f>'MONTHLY STATS'!$K$154*0.21</f>
        <v>0</v>
      </c>
      <c r="L41" s="88">
        <f>'MONTHLY STATS'!$K$169*0.21</f>
        <v>0</v>
      </c>
      <c r="M41" s="88">
        <f>'MONTHLY STATS'!$K$184*0.21</f>
        <v>0</v>
      </c>
      <c r="N41" s="88">
        <f>'MONTHLY STATS'!$K$199*0.21</f>
        <v>0</v>
      </c>
      <c r="O41" s="89">
        <f t="shared" si="4"/>
        <v>0</v>
      </c>
      <c r="P41" s="82"/>
    </row>
    <row r="42" spans="1:16" ht="15">
      <c r="A42" s="87">
        <v>44002</v>
      </c>
      <c r="B42" s="88">
        <f>'MONTHLY STATS'!$K$20*0.21</f>
        <v>2256888.9902999997</v>
      </c>
      <c r="C42" s="88">
        <f>'MONTHLY STATS'!$K$35*0.21</f>
        <v>1234532.6826</v>
      </c>
      <c r="D42" s="88">
        <f>'MONTHLY STATS'!$K$50*0.21</f>
        <v>669829.0556999999</v>
      </c>
      <c r="E42" s="88">
        <f>'MONTHLY STATS'!$K$65*0.21</f>
        <v>1644831.8606999998</v>
      </c>
      <c r="F42" s="88">
        <f>'MONTHLY STATS'!$K$80*0.21</f>
        <v>3142816.0722</v>
      </c>
      <c r="G42" s="88">
        <f>'MONTHLY STATS'!$K$95*0.21</f>
        <v>1372958.7249</v>
      </c>
      <c r="H42" s="88">
        <f>'MONTHLY STATS'!$K$110*0.21</f>
        <v>904560.2265</v>
      </c>
      <c r="I42" s="88">
        <f>'MONTHLY STATS'!$K$125*0.21</f>
        <v>2725922.2053</v>
      </c>
      <c r="J42" s="88">
        <f>'MONTHLY STATS'!$K$140*0.21</f>
        <v>2548112.0973</v>
      </c>
      <c r="K42" s="88">
        <f>'MONTHLY STATS'!$K$155*0.21</f>
        <v>1689804.2784</v>
      </c>
      <c r="L42" s="88">
        <f>'MONTHLY STATS'!$K$170*0.21</f>
        <v>638264.6361</v>
      </c>
      <c r="M42" s="88">
        <f>'MONTHLY STATS'!$K$185*0.21</f>
        <v>5567658.803699999</v>
      </c>
      <c r="N42" s="88">
        <f>'MONTHLY STATS'!$K$200*0.21</f>
        <v>629005.1523</v>
      </c>
      <c r="O42" s="89">
        <f t="shared" si="4"/>
        <v>25025184.786000002</v>
      </c>
      <c r="P42" s="82"/>
    </row>
    <row r="43" spans="1:16" ht="15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9"/>
      <c r="P43" s="82"/>
    </row>
    <row r="44" spans="1:16" ht="15">
      <c r="A44" s="90" t="s">
        <v>29</v>
      </c>
      <c r="B44" s="89">
        <f aca="true" t="shared" si="5" ref="B44:O44">SUM(B31:B42)</f>
        <v>26879009.369099997</v>
      </c>
      <c r="C44" s="89">
        <f t="shared" si="5"/>
        <v>12768770.250599999</v>
      </c>
      <c r="D44" s="89">
        <f t="shared" si="5"/>
        <v>6550583.722199999</v>
      </c>
      <c r="E44" s="89">
        <f t="shared" si="5"/>
        <v>37103930.079299994</v>
      </c>
      <c r="F44" s="89">
        <f t="shared" si="5"/>
        <v>29484528.916500002</v>
      </c>
      <c r="G44" s="89">
        <f t="shared" si="5"/>
        <v>10678376.5431</v>
      </c>
      <c r="H44" s="89">
        <f t="shared" si="5"/>
        <v>10684125.6963</v>
      </c>
      <c r="I44" s="89">
        <f t="shared" si="5"/>
        <v>25498495.4784</v>
      </c>
      <c r="J44" s="89">
        <f t="shared" si="5"/>
        <v>31328560.281900004</v>
      </c>
      <c r="K44" s="89">
        <f t="shared" si="5"/>
        <v>35695104.1755</v>
      </c>
      <c r="L44" s="89">
        <f t="shared" si="5"/>
        <v>5743112.7705</v>
      </c>
      <c r="M44" s="89">
        <f t="shared" si="5"/>
        <v>44689940.3076</v>
      </c>
      <c r="N44" s="89">
        <f t="shared" si="5"/>
        <v>6898482.124799999</v>
      </c>
      <c r="O44" s="89">
        <f t="shared" si="5"/>
        <v>284003019.7158</v>
      </c>
      <c r="P44" s="82"/>
    </row>
    <row r="45" spans="1:16" ht="15.75" thickBot="1">
      <c r="A45" s="91"/>
      <c r="B45" s="89"/>
      <c r="C45" s="89"/>
      <c r="D45" s="89"/>
      <c r="E45" s="88"/>
      <c r="F45" s="88"/>
      <c r="G45" s="88"/>
      <c r="H45" s="88"/>
      <c r="I45" s="88"/>
      <c r="J45" s="89"/>
      <c r="K45" s="89"/>
      <c r="L45" s="89"/>
      <c r="M45" s="89"/>
      <c r="N45" s="89"/>
      <c r="O45" s="89"/>
      <c r="P45" s="82"/>
    </row>
    <row r="46" spans="1:15" ht="15" thickTop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</row>
    <row r="47" spans="1:15" ht="15">
      <c r="A47" s="283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</row>
    <row r="48" spans="1:15" ht="1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</row>
    <row r="49" spans="1:9" ht="15">
      <c r="A49" s="114" t="s">
        <v>31</v>
      </c>
      <c r="B49" s="97"/>
      <c r="C49" s="97"/>
      <c r="D49" s="97"/>
      <c r="E49" s="97"/>
      <c r="F49" s="97"/>
      <c r="G49" s="97"/>
      <c r="H49" s="97"/>
      <c r="I49" s="97"/>
    </row>
    <row r="50" spans="1:9" ht="15">
      <c r="A50" s="114"/>
      <c r="B50" s="97"/>
      <c r="C50" s="97"/>
      <c r="D50" s="97"/>
      <c r="E50" s="97"/>
      <c r="F50" s="97"/>
      <c r="G50" s="97"/>
      <c r="H50" s="97"/>
      <c r="I50" s="97"/>
    </row>
    <row r="51" ht="15">
      <c r="A51" s="71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9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7" customWidth="1"/>
    <col min="2" max="2" width="9.6640625" style="117" customWidth="1"/>
    <col min="3" max="3" width="16.6640625" style="208" customWidth="1"/>
    <col min="4" max="5" width="15.6640625" style="208" customWidth="1"/>
    <col min="6" max="6" width="9.6640625" style="117" customWidth="1"/>
    <col min="7" max="7" width="10.5546875" style="220" customWidth="1"/>
    <col min="8" max="16384" width="9.6640625" style="117" customWidth="1"/>
  </cols>
  <sheetData>
    <row r="1" spans="1:7" ht="17.25">
      <c r="A1" s="115" t="s">
        <v>0</v>
      </c>
      <c r="B1" s="116"/>
      <c r="C1" s="199"/>
      <c r="D1" s="199"/>
      <c r="E1" s="199"/>
      <c r="F1" s="116"/>
      <c r="G1" s="209"/>
    </row>
    <row r="2" spans="1:7" ht="18" customHeight="1">
      <c r="A2" s="118" t="s">
        <v>32</v>
      </c>
      <c r="B2" s="116"/>
      <c r="C2" s="199"/>
      <c r="D2" s="199"/>
      <c r="E2" s="199"/>
      <c r="F2" s="116"/>
      <c r="G2" s="209"/>
    </row>
    <row r="3" spans="1:7" ht="18" customHeight="1">
      <c r="A3" s="115" t="s">
        <v>73</v>
      </c>
      <c r="B3" s="116"/>
      <c r="C3" s="199"/>
      <c r="D3" s="199"/>
      <c r="E3" s="199"/>
      <c r="F3" s="116"/>
      <c r="G3" s="209"/>
    </row>
    <row r="4" spans="1:7" ht="15">
      <c r="A4" s="280" t="s">
        <v>74</v>
      </c>
      <c r="B4" s="116"/>
      <c r="C4" s="199"/>
      <c r="D4" s="199"/>
      <c r="E4" s="199"/>
      <c r="F4" s="116"/>
      <c r="G4" s="209"/>
    </row>
    <row r="5" spans="1:7" ht="15">
      <c r="A5" s="116"/>
      <c r="B5" s="116"/>
      <c r="C5" s="199"/>
      <c r="D5" s="199"/>
      <c r="E5" s="199"/>
      <c r="F5" s="116"/>
      <c r="G5" s="210" t="s">
        <v>1</v>
      </c>
    </row>
    <row r="6" spans="1:8" ht="15.75" thickTop="1">
      <c r="A6" s="119"/>
      <c r="B6" s="120" t="s">
        <v>2</v>
      </c>
      <c r="C6" s="200" t="s">
        <v>33</v>
      </c>
      <c r="D6" s="200" t="s">
        <v>33</v>
      </c>
      <c r="E6" s="200" t="s">
        <v>3</v>
      </c>
      <c r="F6" s="121"/>
      <c r="G6" s="211" t="s">
        <v>34</v>
      </c>
      <c r="H6" s="122"/>
    </row>
    <row r="7" spans="1:8" ht="15.75" thickBot="1">
      <c r="A7" s="123" t="s">
        <v>5</v>
      </c>
      <c r="B7" s="124" t="s">
        <v>6</v>
      </c>
      <c r="C7" s="261" t="s">
        <v>35</v>
      </c>
      <c r="D7" s="201" t="s">
        <v>36</v>
      </c>
      <c r="E7" s="201" t="s">
        <v>36</v>
      </c>
      <c r="F7" s="125" t="s">
        <v>8</v>
      </c>
      <c r="G7" s="212" t="s">
        <v>37</v>
      </c>
      <c r="H7" s="122"/>
    </row>
    <row r="8" spans="1:8" ht="15.75" customHeight="1" thickTop="1">
      <c r="A8" s="126"/>
      <c r="B8" s="127"/>
      <c r="C8" s="202"/>
      <c r="D8" s="202"/>
      <c r="E8" s="202"/>
      <c r="F8" s="128"/>
      <c r="G8" s="213"/>
      <c r="H8" s="122"/>
    </row>
    <row r="9" spans="1:8" ht="15">
      <c r="A9" s="129" t="s">
        <v>38</v>
      </c>
      <c r="B9" s="130">
        <f>DATE(2019,7,1)</f>
        <v>43647</v>
      </c>
      <c r="C9" s="203">
        <v>11145172</v>
      </c>
      <c r="D9" s="203">
        <v>2192281.5</v>
      </c>
      <c r="E9" s="203">
        <v>1826329</v>
      </c>
      <c r="F9" s="131">
        <f aca="true" t="shared" si="0" ref="F9:F20">(+D9-E9)/E9</f>
        <v>0.20037600016207374</v>
      </c>
      <c r="G9" s="214">
        <f aca="true" t="shared" si="1" ref="G9:G17">D9/C9</f>
        <v>0.19670234788660057</v>
      </c>
      <c r="H9" s="122"/>
    </row>
    <row r="10" spans="1:8" ht="15">
      <c r="A10" s="129"/>
      <c r="B10" s="130">
        <f>DATE(2019,8,1)</f>
        <v>43678</v>
      </c>
      <c r="C10" s="203">
        <v>9635568</v>
      </c>
      <c r="D10" s="203">
        <v>1845303</v>
      </c>
      <c r="E10" s="203">
        <v>1679235.5</v>
      </c>
      <c r="F10" s="131">
        <f t="shared" si="0"/>
        <v>0.09889470535848009</v>
      </c>
      <c r="G10" s="214">
        <f t="shared" si="1"/>
        <v>0.19150951972940256</v>
      </c>
      <c r="H10" s="122"/>
    </row>
    <row r="11" spans="1:8" ht="15">
      <c r="A11" s="129"/>
      <c r="B11" s="130">
        <f>DATE(2019,9,1)</f>
        <v>43709</v>
      </c>
      <c r="C11" s="203">
        <v>9952207.5</v>
      </c>
      <c r="D11" s="203">
        <v>1703371</v>
      </c>
      <c r="E11" s="203">
        <v>2056251</v>
      </c>
      <c r="F11" s="131">
        <f t="shared" si="0"/>
        <v>-0.17161329040083143</v>
      </c>
      <c r="G11" s="214">
        <f t="shared" si="1"/>
        <v>0.17115509297811565</v>
      </c>
      <c r="H11" s="122"/>
    </row>
    <row r="12" spans="1:8" ht="15">
      <c r="A12" s="129"/>
      <c r="B12" s="130">
        <f>DATE(2019,10,1)</f>
        <v>43739</v>
      </c>
      <c r="C12" s="203">
        <v>10226229</v>
      </c>
      <c r="D12" s="203">
        <v>1844628</v>
      </c>
      <c r="E12" s="203">
        <v>2198521</v>
      </c>
      <c r="F12" s="131">
        <f t="shared" si="0"/>
        <v>-0.16096866939183205</v>
      </c>
      <c r="G12" s="214">
        <f t="shared" si="1"/>
        <v>0.18038203525463786</v>
      </c>
      <c r="H12" s="122"/>
    </row>
    <row r="13" spans="1:8" ht="15">
      <c r="A13" s="129"/>
      <c r="B13" s="130">
        <f>DATE(2019,11,1)</f>
        <v>43770</v>
      </c>
      <c r="C13" s="203">
        <v>9749060.5</v>
      </c>
      <c r="D13" s="203">
        <v>1695412.5</v>
      </c>
      <c r="E13" s="203">
        <v>2373996</v>
      </c>
      <c r="F13" s="131">
        <f t="shared" si="0"/>
        <v>-0.28584020360607176</v>
      </c>
      <c r="G13" s="214">
        <f t="shared" si="1"/>
        <v>0.17390521886698723</v>
      </c>
      <c r="H13" s="122"/>
    </row>
    <row r="14" spans="1:8" ht="15">
      <c r="A14" s="129"/>
      <c r="B14" s="130">
        <f>DATE(2019,12,1)</f>
        <v>43800</v>
      </c>
      <c r="C14" s="203">
        <v>10058823</v>
      </c>
      <c r="D14" s="203">
        <v>1854155.5</v>
      </c>
      <c r="E14" s="203">
        <v>2548450</v>
      </c>
      <c r="F14" s="131">
        <f t="shared" si="0"/>
        <v>-0.2724379524809198</v>
      </c>
      <c r="G14" s="214">
        <f t="shared" si="1"/>
        <v>0.18433125823965688</v>
      </c>
      <c r="H14" s="122"/>
    </row>
    <row r="15" spans="1:8" ht="15">
      <c r="A15" s="129"/>
      <c r="B15" s="130">
        <f>DATE(2020,1,1)</f>
        <v>43831</v>
      </c>
      <c r="C15" s="203">
        <v>9880479.5</v>
      </c>
      <c r="D15" s="203">
        <v>1814739</v>
      </c>
      <c r="E15" s="203">
        <v>2049686.5</v>
      </c>
      <c r="F15" s="131">
        <f t="shared" si="0"/>
        <v>-0.11462606598618862</v>
      </c>
      <c r="G15" s="214">
        <f t="shared" si="1"/>
        <v>0.18366912253600648</v>
      </c>
      <c r="H15" s="122"/>
    </row>
    <row r="16" spans="1:8" ht="15">
      <c r="A16" s="129"/>
      <c r="B16" s="130">
        <f>DATE(2020,2,1)</f>
        <v>43862</v>
      </c>
      <c r="C16" s="203">
        <v>10500879.25</v>
      </c>
      <c r="D16" s="203">
        <v>1907085.75</v>
      </c>
      <c r="E16" s="203">
        <v>1917312.5</v>
      </c>
      <c r="F16" s="131">
        <f t="shared" si="0"/>
        <v>-0.005333898360335105</v>
      </c>
      <c r="G16" s="214">
        <f t="shared" si="1"/>
        <v>0.18161200644222245</v>
      </c>
      <c r="H16" s="122"/>
    </row>
    <row r="17" spans="1:8" ht="15">
      <c r="A17" s="129"/>
      <c r="B17" s="130">
        <f>DATE(2020,3,1)</f>
        <v>43891</v>
      </c>
      <c r="C17" s="203">
        <v>5804217</v>
      </c>
      <c r="D17" s="203">
        <v>1133526.5</v>
      </c>
      <c r="E17" s="203">
        <v>1899536.5</v>
      </c>
      <c r="F17" s="131">
        <f t="shared" si="0"/>
        <v>-0.40326153248437185</v>
      </c>
      <c r="G17" s="214">
        <f t="shared" si="1"/>
        <v>0.19529361152417285</v>
      </c>
      <c r="H17" s="122"/>
    </row>
    <row r="18" spans="1:8" ht="15">
      <c r="A18" s="129"/>
      <c r="B18" s="130">
        <f>DATE(2020,4,1)</f>
        <v>43922</v>
      </c>
      <c r="C18" s="203">
        <v>0</v>
      </c>
      <c r="D18" s="203">
        <v>0</v>
      </c>
      <c r="E18" s="203">
        <v>1787280.5</v>
      </c>
      <c r="F18" s="131">
        <f t="shared" si="0"/>
        <v>-1</v>
      </c>
      <c r="G18" s="214">
        <v>0</v>
      </c>
      <c r="H18" s="122"/>
    </row>
    <row r="19" spans="1:8" ht="15">
      <c r="A19" s="129"/>
      <c r="B19" s="130">
        <f>DATE(2020,5,1)</f>
        <v>43952</v>
      </c>
      <c r="C19" s="203">
        <v>0</v>
      </c>
      <c r="D19" s="203">
        <v>0</v>
      </c>
      <c r="E19" s="203">
        <v>1875195.5</v>
      </c>
      <c r="F19" s="131">
        <f t="shared" si="0"/>
        <v>-1</v>
      </c>
      <c r="G19" s="214">
        <v>0</v>
      </c>
      <c r="H19" s="122"/>
    </row>
    <row r="20" spans="1:8" ht="15">
      <c r="A20" s="129"/>
      <c r="B20" s="130">
        <v>44002</v>
      </c>
      <c r="C20" s="203">
        <v>7750968</v>
      </c>
      <c r="D20" s="203">
        <v>1141354</v>
      </c>
      <c r="E20" s="203">
        <v>1507045</v>
      </c>
      <c r="F20" s="131">
        <f t="shared" si="0"/>
        <v>-0.2426543334804203</v>
      </c>
      <c r="G20" s="214">
        <f>D20/C20</f>
        <v>0.14725309148483132</v>
      </c>
      <c r="H20" s="122"/>
    </row>
    <row r="21" spans="1:8" ht="15" thickBot="1">
      <c r="A21" s="132"/>
      <c r="B21" s="133"/>
      <c r="C21" s="203"/>
      <c r="D21" s="203"/>
      <c r="E21" s="203"/>
      <c r="F21" s="131"/>
      <c r="G21" s="214"/>
      <c r="H21" s="122"/>
    </row>
    <row r="22" spans="1:8" ht="16.5" thickBot="1" thickTop="1">
      <c r="A22" s="134" t="s">
        <v>14</v>
      </c>
      <c r="B22" s="135"/>
      <c r="C22" s="200">
        <f>SUM(C9:C21)</f>
        <v>94703603.75</v>
      </c>
      <c r="D22" s="200">
        <f>SUM(D9:D21)</f>
        <v>17131856.75</v>
      </c>
      <c r="E22" s="200">
        <f>SUM(E9:E21)</f>
        <v>23718839</v>
      </c>
      <c r="F22" s="136">
        <f>(+D22-E22)/E22</f>
        <v>-0.2777109895640339</v>
      </c>
      <c r="G22" s="211">
        <f>D22/C22</f>
        <v>0.18089973424057793</v>
      </c>
      <c r="H22" s="122"/>
    </row>
    <row r="23" spans="1:8" ht="15.75" customHeight="1" thickTop="1">
      <c r="A23" s="137"/>
      <c r="B23" s="138"/>
      <c r="C23" s="204"/>
      <c r="D23" s="204"/>
      <c r="E23" s="204"/>
      <c r="F23" s="139"/>
      <c r="G23" s="215"/>
      <c r="H23" s="122"/>
    </row>
    <row r="24" spans="1:8" ht="15">
      <c r="A24" s="19" t="s">
        <v>15</v>
      </c>
      <c r="B24" s="130">
        <f>DATE(2019,7,1)</f>
        <v>43647</v>
      </c>
      <c r="C24" s="203">
        <v>2591163</v>
      </c>
      <c r="D24" s="203">
        <v>728719</v>
      </c>
      <c r="E24" s="203">
        <v>544502.5</v>
      </c>
      <c r="F24" s="131">
        <f aca="true" t="shared" si="2" ref="F24:F35">(+D24-E24)/E24</f>
        <v>0.3383207606943953</v>
      </c>
      <c r="G24" s="214">
        <f aca="true" t="shared" si="3" ref="G24:G32">D24/C24</f>
        <v>0.28123240413667533</v>
      </c>
      <c r="H24" s="122"/>
    </row>
    <row r="25" spans="1:8" ht="15">
      <c r="A25" s="19"/>
      <c r="B25" s="130">
        <f>DATE(2019,8,1)</f>
        <v>43678</v>
      </c>
      <c r="C25" s="203">
        <v>2727354</v>
      </c>
      <c r="D25" s="203">
        <v>718107.5</v>
      </c>
      <c r="E25" s="203">
        <v>656165</v>
      </c>
      <c r="F25" s="131">
        <f t="shared" si="2"/>
        <v>0.09440079857962555</v>
      </c>
      <c r="G25" s="214">
        <f t="shared" si="3"/>
        <v>0.26329823704586935</v>
      </c>
      <c r="H25" s="122"/>
    </row>
    <row r="26" spans="1:8" ht="15">
      <c r="A26" s="19"/>
      <c r="B26" s="130">
        <f>DATE(2019,9,1)</f>
        <v>43709</v>
      </c>
      <c r="C26" s="203">
        <v>2626262</v>
      </c>
      <c r="D26" s="203">
        <v>573243</v>
      </c>
      <c r="E26" s="203">
        <v>251895.5</v>
      </c>
      <c r="F26" s="131">
        <f t="shared" si="2"/>
        <v>1.2757175098403901</v>
      </c>
      <c r="G26" s="214">
        <f t="shared" si="3"/>
        <v>0.21827334820364458</v>
      </c>
      <c r="H26" s="122"/>
    </row>
    <row r="27" spans="1:8" ht="15">
      <c r="A27" s="19"/>
      <c r="B27" s="130">
        <f>DATE(2019,10,1)</f>
        <v>43739</v>
      </c>
      <c r="C27" s="203">
        <v>2539016.5</v>
      </c>
      <c r="D27" s="203">
        <v>591260.5</v>
      </c>
      <c r="E27" s="203">
        <v>763257.5</v>
      </c>
      <c r="F27" s="131">
        <f t="shared" si="2"/>
        <v>-0.22534596777627472</v>
      </c>
      <c r="G27" s="214">
        <f t="shared" si="3"/>
        <v>0.2328698927320874</v>
      </c>
      <c r="H27" s="122"/>
    </row>
    <row r="28" spans="1:8" ht="15">
      <c r="A28" s="19"/>
      <c r="B28" s="130">
        <f>DATE(2019,11,1)</f>
        <v>43770</v>
      </c>
      <c r="C28" s="203">
        <v>2588437</v>
      </c>
      <c r="D28" s="203">
        <v>527573</v>
      </c>
      <c r="E28" s="203">
        <v>497141.5</v>
      </c>
      <c r="F28" s="131">
        <f t="shared" si="2"/>
        <v>0.061212954460651545</v>
      </c>
      <c r="G28" s="214">
        <f t="shared" si="3"/>
        <v>0.20381913873121116</v>
      </c>
      <c r="H28" s="122"/>
    </row>
    <row r="29" spans="1:8" ht="15">
      <c r="A29" s="19"/>
      <c r="B29" s="130">
        <f>DATE(2019,12,1)</f>
        <v>43800</v>
      </c>
      <c r="C29" s="203">
        <v>2806085</v>
      </c>
      <c r="D29" s="203">
        <v>731643</v>
      </c>
      <c r="E29" s="203">
        <v>725952.5</v>
      </c>
      <c r="F29" s="131">
        <f t="shared" si="2"/>
        <v>0.0078386671304252</v>
      </c>
      <c r="G29" s="214">
        <f t="shared" si="3"/>
        <v>0.2607344396196124</v>
      </c>
      <c r="H29" s="122"/>
    </row>
    <row r="30" spans="1:8" ht="15">
      <c r="A30" s="19"/>
      <c r="B30" s="130">
        <f>DATE(2020,1,1)</f>
        <v>43831</v>
      </c>
      <c r="C30" s="203">
        <v>2708624</v>
      </c>
      <c r="D30" s="203">
        <v>617104</v>
      </c>
      <c r="E30" s="203">
        <v>538538</v>
      </c>
      <c r="F30" s="131">
        <f t="shared" si="2"/>
        <v>0.14588756967939123</v>
      </c>
      <c r="G30" s="214">
        <f t="shared" si="3"/>
        <v>0.2278293332703247</v>
      </c>
      <c r="H30" s="122"/>
    </row>
    <row r="31" spans="1:8" ht="15">
      <c r="A31" s="19"/>
      <c r="B31" s="130">
        <f>DATE(2020,2,1)</f>
        <v>43862</v>
      </c>
      <c r="C31" s="203">
        <v>3033684</v>
      </c>
      <c r="D31" s="203">
        <v>597734</v>
      </c>
      <c r="E31" s="203">
        <v>807451</v>
      </c>
      <c r="F31" s="131">
        <f t="shared" si="2"/>
        <v>-0.2597272156452837</v>
      </c>
      <c r="G31" s="214">
        <f t="shared" si="3"/>
        <v>0.1970323870251483</v>
      </c>
      <c r="H31" s="122"/>
    </row>
    <row r="32" spans="1:8" ht="15">
      <c r="A32" s="19"/>
      <c r="B32" s="130">
        <f>DATE(2020,3,1)</f>
        <v>43891</v>
      </c>
      <c r="C32" s="203">
        <v>1589631.5</v>
      </c>
      <c r="D32" s="203">
        <v>408496.5</v>
      </c>
      <c r="E32" s="203">
        <v>436422.5</v>
      </c>
      <c r="F32" s="131">
        <f t="shared" si="2"/>
        <v>-0.06398845155783672</v>
      </c>
      <c r="G32" s="214">
        <f t="shared" si="3"/>
        <v>0.25697559465825887</v>
      </c>
      <c r="H32" s="122"/>
    </row>
    <row r="33" spans="1:8" ht="15">
      <c r="A33" s="19"/>
      <c r="B33" s="130">
        <f>DATE(2020,4,1)</f>
        <v>43922</v>
      </c>
      <c r="C33" s="203">
        <v>0</v>
      </c>
      <c r="D33" s="203">
        <v>0</v>
      </c>
      <c r="E33" s="203">
        <v>467457.5</v>
      </c>
      <c r="F33" s="131">
        <f t="shared" si="2"/>
        <v>-1</v>
      </c>
      <c r="G33" s="214">
        <v>0</v>
      </c>
      <c r="H33" s="122"/>
    </row>
    <row r="34" spans="1:8" ht="15">
      <c r="A34" s="19"/>
      <c r="B34" s="130">
        <f>DATE(2020,5,1)</f>
        <v>43952</v>
      </c>
      <c r="C34" s="203">
        <v>0</v>
      </c>
      <c r="D34" s="203">
        <v>0</v>
      </c>
      <c r="E34" s="203">
        <v>521857</v>
      </c>
      <c r="F34" s="131">
        <f t="shared" si="2"/>
        <v>-1</v>
      </c>
      <c r="G34" s="214">
        <v>0</v>
      </c>
      <c r="H34" s="122"/>
    </row>
    <row r="35" spans="1:8" ht="15">
      <c r="A35" s="19"/>
      <c r="B35" s="130">
        <v>44002</v>
      </c>
      <c r="C35" s="203">
        <v>1711430</v>
      </c>
      <c r="D35" s="203">
        <v>493502.5</v>
      </c>
      <c r="E35" s="203">
        <v>578049.5</v>
      </c>
      <c r="F35" s="131">
        <f t="shared" si="2"/>
        <v>-0.14626256055926007</v>
      </c>
      <c r="G35" s="214">
        <f>D35/C35</f>
        <v>0.2883568127238625</v>
      </c>
      <c r="H35" s="122"/>
    </row>
    <row r="36" spans="1:8" ht="15" thickBot="1">
      <c r="A36" s="132"/>
      <c r="B36" s="130"/>
      <c r="C36" s="203"/>
      <c r="D36" s="203"/>
      <c r="E36" s="203"/>
      <c r="F36" s="131"/>
      <c r="G36" s="214"/>
      <c r="H36" s="122"/>
    </row>
    <row r="37" spans="1:8" ht="16.5" thickBot="1" thickTop="1">
      <c r="A37" s="134" t="s">
        <v>14</v>
      </c>
      <c r="B37" s="135"/>
      <c r="C37" s="200">
        <f>SUM(C24:C36)</f>
        <v>24921687</v>
      </c>
      <c r="D37" s="200">
        <f>SUM(D24:D36)</f>
        <v>5987383</v>
      </c>
      <c r="E37" s="200">
        <f>SUM(E24:E36)</f>
        <v>6788690</v>
      </c>
      <c r="F37" s="136">
        <f>(+D37-E37)/E37</f>
        <v>-0.11803558565791043</v>
      </c>
      <c r="G37" s="211">
        <f>D37/C37</f>
        <v>0.24024790135595556</v>
      </c>
      <c r="H37" s="122"/>
    </row>
    <row r="38" spans="1:8" ht="15.75" customHeight="1" thickTop="1">
      <c r="A38" s="254"/>
      <c r="B38" s="138"/>
      <c r="C38" s="204"/>
      <c r="D38" s="204"/>
      <c r="E38" s="204"/>
      <c r="F38" s="139"/>
      <c r="G38" s="218"/>
      <c r="H38" s="122"/>
    </row>
    <row r="39" spans="1:8" ht="15">
      <c r="A39" s="19" t="s">
        <v>56</v>
      </c>
      <c r="B39" s="130">
        <f>DATE(2019,7,1)</f>
        <v>43647</v>
      </c>
      <c r="C39" s="203">
        <v>1246714</v>
      </c>
      <c r="D39" s="203">
        <v>293379.5</v>
      </c>
      <c r="E39" s="203">
        <v>373264</v>
      </c>
      <c r="F39" s="131">
        <f aca="true" t="shared" si="4" ref="F39:F50">(+D39-E39)/E39</f>
        <v>-0.2140160851300956</v>
      </c>
      <c r="G39" s="214">
        <f aca="true" t="shared" si="5" ref="G39:G47">D39/C39</f>
        <v>0.23532221503889425</v>
      </c>
      <c r="H39" s="122"/>
    </row>
    <row r="40" spans="1:8" ht="15">
      <c r="A40" s="19"/>
      <c r="B40" s="130">
        <f>DATE(2019,8,1)</f>
        <v>43678</v>
      </c>
      <c r="C40" s="203">
        <v>1240704</v>
      </c>
      <c r="D40" s="203">
        <v>306469</v>
      </c>
      <c r="E40" s="203">
        <v>339140.5</v>
      </c>
      <c r="F40" s="131">
        <f t="shared" si="4"/>
        <v>-0.09633617925314139</v>
      </c>
      <c r="G40" s="214">
        <f t="shared" si="5"/>
        <v>0.24701218018157434</v>
      </c>
      <c r="H40" s="122"/>
    </row>
    <row r="41" spans="1:8" ht="15">
      <c r="A41" s="19"/>
      <c r="B41" s="130">
        <f>DATE(2019,9,1)</f>
        <v>43709</v>
      </c>
      <c r="C41" s="203">
        <v>1288109</v>
      </c>
      <c r="D41" s="203">
        <v>301048.5</v>
      </c>
      <c r="E41" s="203">
        <v>349109</v>
      </c>
      <c r="F41" s="131">
        <f t="shared" si="4"/>
        <v>-0.13766617302905396</v>
      </c>
      <c r="G41" s="214">
        <f t="shared" si="5"/>
        <v>0.23371352890166905</v>
      </c>
      <c r="H41" s="122"/>
    </row>
    <row r="42" spans="1:8" ht="15">
      <c r="A42" s="19"/>
      <c r="B42" s="130">
        <f>DATE(2019,10,1)</f>
        <v>43739</v>
      </c>
      <c r="C42" s="203">
        <v>1303670</v>
      </c>
      <c r="D42" s="203">
        <v>332474</v>
      </c>
      <c r="E42" s="203">
        <v>213321.5</v>
      </c>
      <c r="F42" s="131">
        <f t="shared" si="4"/>
        <v>0.558558326282161</v>
      </c>
      <c r="G42" s="214">
        <f t="shared" si="5"/>
        <v>0.25502926354061994</v>
      </c>
      <c r="H42" s="122"/>
    </row>
    <row r="43" spans="1:8" ht="15">
      <c r="A43" s="19"/>
      <c r="B43" s="130">
        <f>DATE(2019,11,1)</f>
        <v>43770</v>
      </c>
      <c r="C43" s="203">
        <v>1310179</v>
      </c>
      <c r="D43" s="203">
        <v>408121.5</v>
      </c>
      <c r="E43" s="203">
        <v>301353.5</v>
      </c>
      <c r="F43" s="131">
        <f t="shared" si="4"/>
        <v>0.3542948729648071</v>
      </c>
      <c r="G43" s="214">
        <f t="shared" si="5"/>
        <v>0.3115005659532018</v>
      </c>
      <c r="H43" s="122"/>
    </row>
    <row r="44" spans="1:8" ht="15">
      <c r="A44" s="19"/>
      <c r="B44" s="130">
        <f>DATE(2019,12,1)</f>
        <v>43800</v>
      </c>
      <c r="C44" s="203">
        <v>1419526</v>
      </c>
      <c r="D44" s="203">
        <v>350849</v>
      </c>
      <c r="E44" s="203">
        <v>461887</v>
      </c>
      <c r="F44" s="131">
        <f t="shared" si="4"/>
        <v>-0.24040079066957937</v>
      </c>
      <c r="G44" s="214">
        <f t="shared" si="5"/>
        <v>0.24715926302160016</v>
      </c>
      <c r="H44" s="122"/>
    </row>
    <row r="45" spans="1:8" ht="15">
      <c r="A45" s="19"/>
      <c r="B45" s="130">
        <f>DATE(2020,1,1)</f>
        <v>43831</v>
      </c>
      <c r="C45" s="203">
        <v>1523821</v>
      </c>
      <c r="D45" s="203">
        <v>350509</v>
      </c>
      <c r="E45" s="203">
        <v>327327.5</v>
      </c>
      <c r="F45" s="131">
        <f t="shared" si="4"/>
        <v>0.07082050851211708</v>
      </c>
      <c r="G45" s="214">
        <f t="shared" si="5"/>
        <v>0.23001979891338944</v>
      </c>
      <c r="H45" s="122"/>
    </row>
    <row r="46" spans="1:8" ht="15">
      <c r="A46" s="19"/>
      <c r="B46" s="130">
        <f>DATE(2020,2,1)</f>
        <v>43862</v>
      </c>
      <c r="C46" s="203">
        <v>1686134</v>
      </c>
      <c r="D46" s="203">
        <v>404769.5</v>
      </c>
      <c r="E46" s="203">
        <v>275261</v>
      </c>
      <c r="F46" s="131">
        <f t="shared" si="4"/>
        <v>0.4704934589353377</v>
      </c>
      <c r="G46" s="214">
        <f t="shared" si="5"/>
        <v>0.24005772969408126</v>
      </c>
      <c r="H46" s="122"/>
    </row>
    <row r="47" spans="1:8" ht="15">
      <c r="A47" s="19"/>
      <c r="B47" s="130">
        <f>DATE(2020,3,1)</f>
        <v>43891</v>
      </c>
      <c r="C47" s="203">
        <v>849596</v>
      </c>
      <c r="D47" s="203">
        <v>280036</v>
      </c>
      <c r="E47" s="203">
        <v>433986.5</v>
      </c>
      <c r="F47" s="131">
        <f t="shared" si="4"/>
        <v>-0.35473568878294603</v>
      </c>
      <c r="G47" s="214">
        <f t="shared" si="5"/>
        <v>0.3296107797117689</v>
      </c>
      <c r="H47" s="122"/>
    </row>
    <row r="48" spans="1:8" ht="15">
      <c r="A48" s="19"/>
      <c r="B48" s="130">
        <f>DATE(2020,4,1)</f>
        <v>43922</v>
      </c>
      <c r="C48" s="203">
        <v>0</v>
      </c>
      <c r="D48" s="203">
        <v>0</v>
      </c>
      <c r="E48" s="203">
        <v>278270</v>
      </c>
      <c r="F48" s="131">
        <f t="shared" si="4"/>
        <v>-1</v>
      </c>
      <c r="G48" s="214">
        <v>0</v>
      </c>
      <c r="H48" s="122"/>
    </row>
    <row r="49" spans="1:8" ht="15">
      <c r="A49" s="19"/>
      <c r="B49" s="130">
        <f>DATE(2020,5,1)</f>
        <v>43952</v>
      </c>
      <c r="C49" s="203">
        <v>0</v>
      </c>
      <c r="D49" s="203">
        <v>0</v>
      </c>
      <c r="E49" s="203">
        <v>332825.5</v>
      </c>
      <c r="F49" s="131">
        <f t="shared" si="4"/>
        <v>-1</v>
      </c>
      <c r="G49" s="214">
        <v>0</v>
      </c>
      <c r="H49" s="122"/>
    </row>
    <row r="50" spans="1:8" ht="15">
      <c r="A50" s="19"/>
      <c r="B50" s="130">
        <v>44002</v>
      </c>
      <c r="C50" s="203">
        <v>1110060</v>
      </c>
      <c r="D50" s="203">
        <v>282265</v>
      </c>
      <c r="E50" s="203">
        <v>327045</v>
      </c>
      <c r="F50" s="131">
        <f t="shared" si="4"/>
        <v>-0.13692305340243696</v>
      </c>
      <c r="G50" s="214">
        <f>D50/C50</f>
        <v>0.2542790479793885</v>
      </c>
      <c r="H50" s="122"/>
    </row>
    <row r="51" spans="1:8" ht="15" thickBot="1">
      <c r="A51" s="132"/>
      <c r="B51" s="130"/>
      <c r="C51" s="203"/>
      <c r="D51" s="203"/>
      <c r="E51" s="203"/>
      <c r="F51" s="131"/>
      <c r="G51" s="214"/>
      <c r="H51" s="122"/>
    </row>
    <row r="52" spans="1:8" ht="16.5" thickBot="1" thickTop="1">
      <c r="A52" s="140" t="s">
        <v>14</v>
      </c>
      <c r="B52" s="141"/>
      <c r="C52" s="205">
        <f>SUM(C39:C51)</f>
        <v>12978513</v>
      </c>
      <c r="D52" s="205">
        <f>SUM(D39:D51)</f>
        <v>3309921</v>
      </c>
      <c r="E52" s="205">
        <f>SUM(E39:E51)</f>
        <v>4012791</v>
      </c>
      <c r="F52" s="142">
        <f>(+D52-E52)/E52</f>
        <v>-0.17515739045467357</v>
      </c>
      <c r="G52" s="216">
        <f>D52/C52</f>
        <v>0.255030834426101</v>
      </c>
      <c r="H52" s="122"/>
    </row>
    <row r="53" spans="1:8" ht="15" thickTop="1">
      <c r="A53" s="132"/>
      <c r="B53" s="133"/>
      <c r="C53" s="203"/>
      <c r="D53" s="203"/>
      <c r="E53" s="203"/>
      <c r="F53" s="131"/>
      <c r="G53" s="217"/>
      <c r="H53" s="122"/>
    </row>
    <row r="54" spans="1:8" ht="15">
      <c r="A54" s="176" t="s">
        <v>65</v>
      </c>
      <c r="B54" s="130">
        <f>DATE(2019,7,1)</f>
        <v>43647</v>
      </c>
      <c r="C54" s="203">
        <v>16460624.75</v>
      </c>
      <c r="D54" s="203">
        <v>3167330.9</v>
      </c>
      <c r="E54" s="203">
        <v>2640847.24</v>
      </c>
      <c r="F54" s="131">
        <f aca="true" t="shared" si="6" ref="F54:F65">(+D54-E54)/E54</f>
        <v>0.1993616488017685</v>
      </c>
      <c r="G54" s="214">
        <f aca="true" t="shared" si="7" ref="G54:G62">D54/C54</f>
        <v>0.19241863222718808</v>
      </c>
      <c r="H54" s="122"/>
    </row>
    <row r="55" spans="1:8" ht="15">
      <c r="A55" s="176"/>
      <c r="B55" s="130">
        <f>DATE(2019,8,1)</f>
        <v>43678</v>
      </c>
      <c r="C55" s="203">
        <v>17103013</v>
      </c>
      <c r="D55" s="203">
        <v>3869820.12</v>
      </c>
      <c r="E55" s="203">
        <v>3019576.86</v>
      </c>
      <c r="F55" s="131">
        <f t="shared" si="6"/>
        <v>0.28157695578578523</v>
      </c>
      <c r="G55" s="214">
        <f t="shared" si="7"/>
        <v>0.2262654024761602</v>
      </c>
      <c r="H55" s="122"/>
    </row>
    <row r="56" spans="1:8" ht="15">
      <c r="A56" s="176"/>
      <c r="B56" s="130">
        <f>DATE(2019,9,1)</f>
        <v>43709</v>
      </c>
      <c r="C56" s="203">
        <v>13722156.5</v>
      </c>
      <c r="D56" s="203">
        <v>2776000.96</v>
      </c>
      <c r="E56" s="203">
        <v>3074145.25</v>
      </c>
      <c r="F56" s="131">
        <f t="shared" si="6"/>
        <v>-0.09698445120639633</v>
      </c>
      <c r="G56" s="214">
        <f t="shared" si="7"/>
        <v>0.2023006340147775</v>
      </c>
      <c r="H56" s="122"/>
    </row>
    <row r="57" spans="1:8" ht="15">
      <c r="A57" s="176"/>
      <c r="B57" s="130">
        <f>DATE(2019,10,1)</f>
        <v>43739</v>
      </c>
      <c r="C57" s="203">
        <v>13658392</v>
      </c>
      <c r="D57" s="203">
        <v>3235048.5</v>
      </c>
      <c r="E57" s="203">
        <v>2577292.69</v>
      </c>
      <c r="F57" s="131">
        <f t="shared" si="6"/>
        <v>0.2552119177430329</v>
      </c>
      <c r="G57" s="214">
        <f t="shared" si="7"/>
        <v>0.23685427245022694</v>
      </c>
      <c r="H57" s="122"/>
    </row>
    <row r="58" spans="1:8" ht="15">
      <c r="A58" s="176"/>
      <c r="B58" s="130">
        <f>DATE(2019,11,1)</f>
        <v>43770</v>
      </c>
      <c r="C58" s="203">
        <v>17067350</v>
      </c>
      <c r="D58" s="203">
        <v>3242492.5</v>
      </c>
      <c r="E58" s="203">
        <v>2885158.69</v>
      </c>
      <c r="F58" s="131">
        <f t="shared" si="6"/>
        <v>0.1238523937135673</v>
      </c>
      <c r="G58" s="214">
        <f t="shared" si="7"/>
        <v>0.18998218821316726</v>
      </c>
      <c r="H58" s="122"/>
    </row>
    <row r="59" spans="1:8" ht="15">
      <c r="A59" s="176"/>
      <c r="B59" s="130">
        <f>DATE(2019,12,1)</f>
        <v>43800</v>
      </c>
      <c r="C59" s="203">
        <v>14731573</v>
      </c>
      <c r="D59" s="203">
        <v>2919239.74</v>
      </c>
      <c r="E59" s="203">
        <v>2894970.85</v>
      </c>
      <c r="F59" s="131">
        <f t="shared" si="6"/>
        <v>0.008383120679781675</v>
      </c>
      <c r="G59" s="214">
        <f t="shared" si="7"/>
        <v>0.1981621202297949</v>
      </c>
      <c r="H59" s="122"/>
    </row>
    <row r="60" spans="1:8" ht="15">
      <c r="A60" s="176"/>
      <c r="B60" s="130">
        <f>DATE(2020,1,1)</f>
        <v>43831</v>
      </c>
      <c r="C60" s="203">
        <v>13593915</v>
      </c>
      <c r="D60" s="203">
        <v>2925730.5</v>
      </c>
      <c r="E60" s="203">
        <v>2972641.43</v>
      </c>
      <c r="F60" s="131">
        <f t="shared" si="6"/>
        <v>-0.015780890869168895</v>
      </c>
      <c r="G60" s="214">
        <f t="shared" si="7"/>
        <v>0.21522353935566024</v>
      </c>
      <c r="H60" s="122"/>
    </row>
    <row r="61" spans="1:8" ht="15">
      <c r="A61" s="176"/>
      <c r="B61" s="130">
        <f>DATE(2020,2,1)</f>
        <v>43862</v>
      </c>
      <c r="C61" s="203">
        <v>15685351</v>
      </c>
      <c r="D61" s="203">
        <v>3337882.2</v>
      </c>
      <c r="E61" s="203">
        <v>3194583.97</v>
      </c>
      <c r="F61" s="131">
        <f t="shared" si="6"/>
        <v>0.04485661712000639</v>
      </c>
      <c r="G61" s="214">
        <f t="shared" si="7"/>
        <v>0.21280251873228723</v>
      </c>
      <c r="H61" s="122"/>
    </row>
    <row r="62" spans="1:8" ht="15">
      <c r="A62" s="176"/>
      <c r="B62" s="130">
        <f>DATE(2020,3,1)</f>
        <v>43891</v>
      </c>
      <c r="C62" s="203">
        <v>7419673</v>
      </c>
      <c r="D62" s="203">
        <v>1497971.95</v>
      </c>
      <c r="E62" s="203">
        <v>4211392</v>
      </c>
      <c r="F62" s="131">
        <f t="shared" si="6"/>
        <v>-0.6443047928095983</v>
      </c>
      <c r="G62" s="214">
        <f t="shared" si="7"/>
        <v>0.20189190952215819</v>
      </c>
      <c r="H62" s="122"/>
    </row>
    <row r="63" spans="1:8" ht="15">
      <c r="A63" s="176"/>
      <c r="B63" s="130">
        <f>DATE(2020,4,1)</f>
        <v>43922</v>
      </c>
      <c r="C63" s="203">
        <v>0</v>
      </c>
      <c r="D63" s="203">
        <v>0</v>
      </c>
      <c r="E63" s="203">
        <v>2963987.59</v>
      </c>
      <c r="F63" s="131">
        <f t="shared" si="6"/>
        <v>-1</v>
      </c>
      <c r="G63" s="214">
        <v>0</v>
      </c>
      <c r="H63" s="122"/>
    </row>
    <row r="64" spans="1:8" ht="15">
      <c r="A64" s="176"/>
      <c r="B64" s="130">
        <f>DATE(2020,5,1)</f>
        <v>43952</v>
      </c>
      <c r="C64" s="203">
        <v>0</v>
      </c>
      <c r="D64" s="203">
        <v>0</v>
      </c>
      <c r="E64" s="203">
        <v>2612189.07</v>
      </c>
      <c r="F64" s="131">
        <f t="shared" si="6"/>
        <v>-1</v>
      </c>
      <c r="G64" s="214">
        <v>0</v>
      </c>
      <c r="H64" s="122"/>
    </row>
    <row r="65" spans="1:8" ht="15">
      <c r="A65" s="176"/>
      <c r="B65" s="130">
        <v>44002</v>
      </c>
      <c r="C65" s="203">
        <v>3878105</v>
      </c>
      <c r="D65" s="203">
        <v>917133.5</v>
      </c>
      <c r="E65" s="203">
        <v>3072260.43</v>
      </c>
      <c r="F65" s="131">
        <f t="shared" si="6"/>
        <v>-0.7014792460156121</v>
      </c>
      <c r="G65" s="214">
        <f>D65/C65</f>
        <v>0.23649011566215974</v>
      </c>
      <c r="H65" s="122"/>
    </row>
    <row r="66" spans="1:8" ht="15.75" customHeight="1" thickBot="1">
      <c r="A66" s="132"/>
      <c r="B66" s="133"/>
      <c r="C66" s="203"/>
      <c r="D66" s="203"/>
      <c r="E66" s="203"/>
      <c r="F66" s="131"/>
      <c r="G66" s="214"/>
      <c r="H66" s="122"/>
    </row>
    <row r="67" spans="1:8" ht="17.25" customHeight="1" thickBot="1" thickTop="1">
      <c r="A67" s="140" t="s">
        <v>14</v>
      </c>
      <c r="B67" s="141"/>
      <c r="C67" s="205">
        <f>SUM(C54:C66)</f>
        <v>133320153.25</v>
      </c>
      <c r="D67" s="205">
        <f>SUM(D54:D66)</f>
        <v>27888650.869999997</v>
      </c>
      <c r="E67" s="205">
        <f>SUM(E54:E66)</f>
        <v>36119046.07</v>
      </c>
      <c r="F67" s="142">
        <f>(+D67-E67)/E67</f>
        <v>-0.2278685650791885</v>
      </c>
      <c r="G67" s="216">
        <f>D67/C67</f>
        <v>0.2091855596483122</v>
      </c>
      <c r="H67" s="122"/>
    </row>
    <row r="68" spans="1:8" ht="15.75" customHeight="1" thickTop="1">
      <c r="A68" s="132"/>
      <c r="B68" s="133"/>
      <c r="C68" s="203"/>
      <c r="D68" s="203"/>
      <c r="E68" s="203"/>
      <c r="F68" s="131"/>
      <c r="G68" s="217"/>
      <c r="H68" s="122"/>
    </row>
    <row r="69" spans="1:8" ht="15" customHeight="1">
      <c r="A69" s="129" t="s">
        <v>39</v>
      </c>
      <c r="B69" s="130">
        <f>DATE(2019,7,1)</f>
        <v>43647</v>
      </c>
      <c r="C69" s="203">
        <v>14612843</v>
      </c>
      <c r="D69" s="203">
        <v>2665528.5</v>
      </c>
      <c r="E69" s="203">
        <v>3513953.5</v>
      </c>
      <c r="F69" s="131">
        <f aca="true" t="shared" si="8" ref="F69:F80">(+D69-E69)/E69</f>
        <v>-0.241444572331421</v>
      </c>
      <c r="G69" s="214">
        <f aca="true" t="shared" si="9" ref="G69:G77">D69/C69</f>
        <v>0.1824099868861932</v>
      </c>
      <c r="H69" s="122"/>
    </row>
    <row r="70" spans="1:8" ht="15" customHeight="1">
      <c r="A70" s="129"/>
      <c r="B70" s="130">
        <f>DATE(2019,8,1)</f>
        <v>43678</v>
      </c>
      <c r="C70" s="203">
        <v>15994186</v>
      </c>
      <c r="D70" s="203">
        <v>3359489.5</v>
      </c>
      <c r="E70" s="203">
        <v>3570821.5</v>
      </c>
      <c r="F70" s="131">
        <f t="shared" si="8"/>
        <v>-0.05918301992972765</v>
      </c>
      <c r="G70" s="214">
        <f t="shared" si="9"/>
        <v>0.21004441864062354</v>
      </c>
      <c r="H70" s="122"/>
    </row>
    <row r="71" spans="1:8" ht="15" customHeight="1">
      <c r="A71" s="129"/>
      <c r="B71" s="130">
        <f>DATE(2019,9,1)</f>
        <v>43709</v>
      </c>
      <c r="C71" s="203">
        <v>14986232</v>
      </c>
      <c r="D71" s="203">
        <v>3201605.5</v>
      </c>
      <c r="E71" s="203">
        <v>3367544</v>
      </c>
      <c r="F71" s="131">
        <f t="shared" si="8"/>
        <v>-0.04927582237975213</v>
      </c>
      <c r="G71" s="214">
        <f t="shared" si="9"/>
        <v>0.21363645644882584</v>
      </c>
      <c r="H71" s="122"/>
    </row>
    <row r="72" spans="1:8" ht="15" customHeight="1">
      <c r="A72" s="129"/>
      <c r="B72" s="130">
        <f>DATE(2019,10,1)</f>
        <v>43739</v>
      </c>
      <c r="C72" s="203">
        <v>15802061</v>
      </c>
      <c r="D72" s="203">
        <v>3223827</v>
      </c>
      <c r="E72" s="203">
        <v>3631888</v>
      </c>
      <c r="F72" s="131">
        <f t="shared" si="8"/>
        <v>-0.11235506160982937</v>
      </c>
      <c r="G72" s="214">
        <f t="shared" si="9"/>
        <v>0.2040130714594761</v>
      </c>
      <c r="H72" s="122"/>
    </row>
    <row r="73" spans="1:8" ht="15" customHeight="1">
      <c r="A73" s="129"/>
      <c r="B73" s="130">
        <f>DATE(2019,11,1)</f>
        <v>43770</v>
      </c>
      <c r="C73" s="203">
        <v>15611065</v>
      </c>
      <c r="D73" s="203">
        <v>2721670</v>
      </c>
      <c r="E73" s="203">
        <v>3478954.5</v>
      </c>
      <c r="F73" s="131">
        <f t="shared" si="8"/>
        <v>-0.2176758850970888</v>
      </c>
      <c r="G73" s="214">
        <f t="shared" si="9"/>
        <v>0.1743423654952433</v>
      </c>
      <c r="H73" s="122"/>
    </row>
    <row r="74" spans="1:8" ht="15" customHeight="1">
      <c r="A74" s="129"/>
      <c r="B74" s="130">
        <f>DATE(2019,12,1)</f>
        <v>43800</v>
      </c>
      <c r="C74" s="203">
        <v>16030300</v>
      </c>
      <c r="D74" s="203">
        <v>2841867</v>
      </c>
      <c r="E74" s="203">
        <v>3863094</v>
      </c>
      <c r="F74" s="131">
        <f t="shared" si="8"/>
        <v>-0.264354685648343</v>
      </c>
      <c r="G74" s="214">
        <f t="shared" si="9"/>
        <v>0.17728096167882074</v>
      </c>
      <c r="H74" s="122"/>
    </row>
    <row r="75" spans="1:8" ht="15" customHeight="1">
      <c r="A75" s="129"/>
      <c r="B75" s="130">
        <f>DATE(2020,1,1)</f>
        <v>43831</v>
      </c>
      <c r="C75" s="203">
        <v>15798016</v>
      </c>
      <c r="D75" s="203">
        <v>3701292</v>
      </c>
      <c r="E75" s="203">
        <v>2474875.5</v>
      </c>
      <c r="F75" s="131">
        <f t="shared" si="8"/>
        <v>0.4955467456847829</v>
      </c>
      <c r="G75" s="214">
        <f t="shared" si="9"/>
        <v>0.23428840684804977</v>
      </c>
      <c r="H75" s="122"/>
    </row>
    <row r="76" spans="1:8" ht="15" customHeight="1">
      <c r="A76" s="129"/>
      <c r="B76" s="130">
        <f>DATE(2020,2,1)</f>
        <v>43862</v>
      </c>
      <c r="C76" s="203">
        <v>14175700.5</v>
      </c>
      <c r="D76" s="203">
        <v>3050097</v>
      </c>
      <c r="E76" s="203">
        <v>2417434</v>
      </c>
      <c r="F76" s="131">
        <f t="shared" si="8"/>
        <v>0.26170848924934453</v>
      </c>
      <c r="G76" s="214">
        <f t="shared" si="9"/>
        <v>0.21516375857404718</v>
      </c>
      <c r="H76" s="122"/>
    </row>
    <row r="77" spans="1:8" ht="15" customHeight="1">
      <c r="A77" s="129"/>
      <c r="B77" s="130">
        <f>DATE(2020,3,1)</f>
        <v>43891</v>
      </c>
      <c r="C77" s="203">
        <v>7453124</v>
      </c>
      <c r="D77" s="203">
        <v>1085587.5</v>
      </c>
      <c r="E77" s="203">
        <v>5092130.55</v>
      </c>
      <c r="F77" s="131">
        <f t="shared" si="8"/>
        <v>-0.7868107485971663</v>
      </c>
      <c r="G77" s="214">
        <f t="shared" si="9"/>
        <v>0.14565536545480795</v>
      </c>
      <c r="H77" s="122"/>
    </row>
    <row r="78" spans="1:8" ht="15" customHeight="1">
      <c r="A78" s="129"/>
      <c r="B78" s="130">
        <f>DATE(2020,4,1)</f>
        <v>43922</v>
      </c>
      <c r="C78" s="203">
        <v>0</v>
      </c>
      <c r="D78" s="203">
        <v>0</v>
      </c>
      <c r="E78" s="203">
        <v>3207953</v>
      </c>
      <c r="F78" s="131">
        <f t="shared" si="8"/>
        <v>-1</v>
      </c>
      <c r="G78" s="214">
        <v>0</v>
      </c>
      <c r="H78" s="122"/>
    </row>
    <row r="79" spans="1:8" ht="15" customHeight="1">
      <c r="A79" s="129"/>
      <c r="B79" s="130">
        <f>DATE(2020,5,1)</f>
        <v>43952</v>
      </c>
      <c r="C79" s="203">
        <v>0</v>
      </c>
      <c r="D79" s="203">
        <v>0</v>
      </c>
      <c r="E79" s="203">
        <v>4986800.5</v>
      </c>
      <c r="F79" s="131">
        <f t="shared" si="8"/>
        <v>-1</v>
      </c>
      <c r="G79" s="214">
        <v>0</v>
      </c>
      <c r="H79" s="122"/>
    </row>
    <row r="80" spans="1:8" ht="15" customHeight="1">
      <c r="A80" s="129"/>
      <c r="B80" s="130">
        <v>44002</v>
      </c>
      <c r="C80" s="203">
        <v>11058567</v>
      </c>
      <c r="D80" s="203">
        <v>2301189.5</v>
      </c>
      <c r="E80" s="203">
        <v>2961192</v>
      </c>
      <c r="F80" s="131">
        <f t="shared" si="8"/>
        <v>-0.22288406155359058</v>
      </c>
      <c r="G80" s="214">
        <f>D80/C80</f>
        <v>0.2080911116241372</v>
      </c>
      <c r="H80" s="122"/>
    </row>
    <row r="81" spans="1:8" ht="15" thickBot="1">
      <c r="A81" s="132"/>
      <c r="B81" s="130"/>
      <c r="C81" s="203"/>
      <c r="D81" s="203"/>
      <c r="E81" s="203"/>
      <c r="F81" s="131"/>
      <c r="G81" s="214"/>
      <c r="H81" s="122"/>
    </row>
    <row r="82" spans="1:8" ht="17.25" customHeight="1" thickBot="1" thickTop="1">
      <c r="A82" s="140" t="s">
        <v>14</v>
      </c>
      <c r="B82" s="141"/>
      <c r="C82" s="206">
        <f>SUM(C69:C81)</f>
        <v>141522094.5</v>
      </c>
      <c r="D82" s="260">
        <f>SUM(D69:D81)</f>
        <v>28152153.5</v>
      </c>
      <c r="E82" s="205">
        <f>SUM(E69:E81)</f>
        <v>42566641.05</v>
      </c>
      <c r="F82" s="267">
        <f>(+D82-E82)/E82</f>
        <v>-0.338633427360837</v>
      </c>
      <c r="G82" s="266">
        <f>D82/C82</f>
        <v>0.19892408743286372</v>
      </c>
      <c r="H82" s="122"/>
    </row>
    <row r="83" spans="1:8" ht="15.75" customHeight="1" thickTop="1">
      <c r="A83" s="129"/>
      <c r="B83" s="133"/>
      <c r="C83" s="203"/>
      <c r="D83" s="203"/>
      <c r="E83" s="203"/>
      <c r="F83" s="131"/>
      <c r="G83" s="217"/>
      <c r="H83" s="122"/>
    </row>
    <row r="84" spans="1:8" ht="15">
      <c r="A84" s="129" t="s">
        <v>66</v>
      </c>
      <c r="B84" s="130">
        <f>DATE(2019,7,1)</f>
        <v>43647</v>
      </c>
      <c r="C84" s="203">
        <v>2326207</v>
      </c>
      <c r="D84" s="203">
        <v>550912.5</v>
      </c>
      <c r="E84" s="203">
        <v>682875.5</v>
      </c>
      <c r="F84" s="131">
        <f aca="true" t="shared" si="10" ref="F84:F95">(+D84-E84)/E84</f>
        <v>-0.19324606022620522</v>
      </c>
      <c r="G84" s="214">
        <f aca="true" t="shared" si="11" ref="G84:G92">D84/C84</f>
        <v>0.2368286657206345</v>
      </c>
      <c r="H84" s="122"/>
    </row>
    <row r="85" spans="1:8" ht="15">
      <c r="A85" s="129"/>
      <c r="B85" s="130">
        <f>DATE(2019,8,1)</f>
        <v>43678</v>
      </c>
      <c r="C85" s="203">
        <v>2456667</v>
      </c>
      <c r="D85" s="203">
        <v>544892.5</v>
      </c>
      <c r="E85" s="203">
        <v>651283.5</v>
      </c>
      <c r="F85" s="131">
        <f t="shared" si="10"/>
        <v>-0.16335589647212007</v>
      </c>
      <c r="G85" s="214">
        <f t="shared" si="11"/>
        <v>0.2218015302847313</v>
      </c>
      <c r="H85" s="122"/>
    </row>
    <row r="86" spans="1:8" ht="15">
      <c r="A86" s="129"/>
      <c r="B86" s="130">
        <f>DATE(2019,9,1)</f>
        <v>43709</v>
      </c>
      <c r="C86" s="203">
        <v>2398271</v>
      </c>
      <c r="D86" s="203">
        <v>648210.4</v>
      </c>
      <c r="E86" s="203">
        <v>584999.5</v>
      </c>
      <c r="F86" s="131">
        <f t="shared" si="10"/>
        <v>0.10805291286573754</v>
      </c>
      <c r="G86" s="214">
        <f t="shared" si="11"/>
        <v>0.2702823825997979</v>
      </c>
      <c r="H86" s="122"/>
    </row>
    <row r="87" spans="1:8" ht="15">
      <c r="A87" s="129"/>
      <c r="B87" s="130">
        <f>DATE(2019,10,1)</f>
        <v>43739</v>
      </c>
      <c r="C87" s="203">
        <v>2701389</v>
      </c>
      <c r="D87" s="203">
        <v>633881.5</v>
      </c>
      <c r="E87" s="203">
        <v>681963.5</v>
      </c>
      <c r="F87" s="131">
        <f t="shared" si="10"/>
        <v>-0.07050523964992261</v>
      </c>
      <c r="G87" s="214">
        <f t="shared" si="11"/>
        <v>0.23465021142826895</v>
      </c>
      <c r="H87" s="122"/>
    </row>
    <row r="88" spans="1:8" ht="15">
      <c r="A88" s="129"/>
      <c r="B88" s="130">
        <f>DATE(2019,11,1)</f>
        <v>43770</v>
      </c>
      <c r="C88" s="203">
        <v>2978379</v>
      </c>
      <c r="D88" s="203">
        <v>745956</v>
      </c>
      <c r="E88" s="203">
        <v>534840</v>
      </c>
      <c r="F88" s="131">
        <f t="shared" si="10"/>
        <v>0.3947273951088176</v>
      </c>
      <c r="G88" s="214">
        <f t="shared" si="11"/>
        <v>0.250457043915499</v>
      </c>
      <c r="H88" s="122"/>
    </row>
    <row r="89" spans="1:8" ht="15">
      <c r="A89" s="129"/>
      <c r="B89" s="130">
        <f>DATE(2019,12,1)</f>
        <v>43800</v>
      </c>
      <c r="C89" s="203">
        <v>3201903</v>
      </c>
      <c r="D89" s="203">
        <v>825802.5</v>
      </c>
      <c r="E89" s="203">
        <v>680547.57</v>
      </c>
      <c r="F89" s="131">
        <f t="shared" si="10"/>
        <v>0.2134383199693154</v>
      </c>
      <c r="G89" s="214">
        <f t="shared" si="11"/>
        <v>0.2579099054531009</v>
      </c>
      <c r="H89" s="122"/>
    </row>
    <row r="90" spans="1:8" ht="15">
      <c r="A90" s="129"/>
      <c r="B90" s="130">
        <f>DATE(2020,1,1)</f>
        <v>43831</v>
      </c>
      <c r="C90" s="203">
        <v>2935436</v>
      </c>
      <c r="D90" s="203">
        <v>839366</v>
      </c>
      <c r="E90" s="203">
        <v>696823.5</v>
      </c>
      <c r="F90" s="131">
        <f t="shared" si="10"/>
        <v>0.20456040876922205</v>
      </c>
      <c r="G90" s="214">
        <f t="shared" si="11"/>
        <v>0.28594253119468455</v>
      </c>
      <c r="H90" s="122"/>
    </row>
    <row r="91" spans="1:8" ht="15">
      <c r="A91" s="129"/>
      <c r="B91" s="130">
        <f>DATE(2020,2,1)</f>
        <v>43862</v>
      </c>
      <c r="C91" s="203">
        <v>2979862</v>
      </c>
      <c r="D91" s="203">
        <v>859354</v>
      </c>
      <c r="E91" s="203">
        <v>505834.5</v>
      </c>
      <c r="F91" s="131">
        <f t="shared" si="10"/>
        <v>0.6988837258035978</v>
      </c>
      <c r="G91" s="214">
        <f t="shared" si="11"/>
        <v>0.28838718034593547</v>
      </c>
      <c r="H91" s="122"/>
    </row>
    <row r="92" spans="1:8" ht="15">
      <c r="A92" s="129"/>
      <c r="B92" s="130">
        <f>DATE(2020,3,1)</f>
        <v>43891</v>
      </c>
      <c r="C92" s="203">
        <v>1418164</v>
      </c>
      <c r="D92" s="203">
        <v>352677.5</v>
      </c>
      <c r="E92" s="203">
        <v>610444.5</v>
      </c>
      <c r="F92" s="131">
        <f t="shared" si="10"/>
        <v>-0.4222611556005501</v>
      </c>
      <c r="G92" s="214">
        <f t="shared" si="11"/>
        <v>0.24868597708022486</v>
      </c>
      <c r="H92" s="122"/>
    </row>
    <row r="93" spans="1:8" ht="15">
      <c r="A93" s="129"/>
      <c r="B93" s="130">
        <f>DATE(2020,4,1)</f>
        <v>43922</v>
      </c>
      <c r="C93" s="203">
        <v>0</v>
      </c>
      <c r="D93" s="203">
        <v>0</v>
      </c>
      <c r="E93" s="203">
        <v>593255</v>
      </c>
      <c r="F93" s="131">
        <f t="shared" si="10"/>
        <v>-1</v>
      </c>
      <c r="G93" s="214">
        <v>0</v>
      </c>
      <c r="H93" s="122"/>
    </row>
    <row r="94" spans="1:8" ht="15">
      <c r="A94" s="129"/>
      <c r="B94" s="130">
        <f>DATE(2020,5,1)</f>
        <v>43952</v>
      </c>
      <c r="C94" s="203">
        <v>0</v>
      </c>
      <c r="D94" s="203">
        <v>0</v>
      </c>
      <c r="E94" s="203">
        <v>479927.5</v>
      </c>
      <c r="F94" s="131">
        <f t="shared" si="10"/>
        <v>-1</v>
      </c>
      <c r="G94" s="214">
        <v>0</v>
      </c>
      <c r="H94" s="122"/>
    </row>
    <row r="95" spans="1:8" ht="15">
      <c r="A95" s="129"/>
      <c r="B95" s="130">
        <v>44002</v>
      </c>
      <c r="C95" s="203">
        <v>2449576</v>
      </c>
      <c r="D95" s="203">
        <v>628836</v>
      </c>
      <c r="E95" s="203">
        <v>509452.5</v>
      </c>
      <c r="F95" s="131">
        <f t="shared" si="10"/>
        <v>0.23433686163086842</v>
      </c>
      <c r="G95" s="214">
        <f>D95/C95</f>
        <v>0.2567121820266038</v>
      </c>
      <c r="H95" s="122"/>
    </row>
    <row r="96" spans="1:8" ht="15.75" customHeight="1" thickBot="1">
      <c r="A96" s="129"/>
      <c r="B96" s="130"/>
      <c r="C96" s="203"/>
      <c r="D96" s="203"/>
      <c r="E96" s="203"/>
      <c r="F96" s="131"/>
      <c r="G96" s="214"/>
      <c r="H96" s="122"/>
    </row>
    <row r="97" spans="1:8" ht="16.5" thickBot="1" thickTop="1">
      <c r="A97" s="140" t="s">
        <v>14</v>
      </c>
      <c r="B97" s="141"/>
      <c r="C97" s="206">
        <f>SUM(C84:C96)</f>
        <v>25845854</v>
      </c>
      <c r="D97" s="260">
        <f>SUM(D84:D96)</f>
        <v>6629888.9</v>
      </c>
      <c r="E97" s="206">
        <f>SUM(E84:E96)</f>
        <v>7212247.07</v>
      </c>
      <c r="F97" s="267">
        <f>(+D97-E97)/E97</f>
        <v>-0.0807457321342154</v>
      </c>
      <c r="G97" s="266">
        <f>D97/C97</f>
        <v>0.2565165345281297</v>
      </c>
      <c r="H97" s="122"/>
    </row>
    <row r="98" spans="1:8" ht="15.75" customHeight="1" thickTop="1">
      <c r="A98" s="129"/>
      <c r="B98" s="133"/>
      <c r="C98" s="203"/>
      <c r="D98" s="203"/>
      <c r="E98" s="203"/>
      <c r="F98" s="131"/>
      <c r="G98" s="217"/>
      <c r="H98" s="122"/>
    </row>
    <row r="99" spans="1:8" ht="15">
      <c r="A99" s="129" t="s">
        <v>17</v>
      </c>
      <c r="B99" s="130">
        <f>DATE(2019,7,1)</f>
        <v>43647</v>
      </c>
      <c r="C99" s="203">
        <v>1428358</v>
      </c>
      <c r="D99" s="203">
        <v>255421</v>
      </c>
      <c r="E99" s="203">
        <v>395162.5</v>
      </c>
      <c r="F99" s="131">
        <f aca="true" t="shared" si="12" ref="F99:F110">(+D99-E99)/E99</f>
        <v>-0.3536304684781577</v>
      </c>
      <c r="G99" s="214">
        <f aca="true" t="shared" si="13" ref="G99:G107">D99/C99</f>
        <v>0.17882141591953837</v>
      </c>
      <c r="H99" s="122"/>
    </row>
    <row r="100" spans="1:8" ht="15">
      <c r="A100" s="129"/>
      <c r="B100" s="130">
        <f>DATE(2019,8,1)</f>
        <v>43678</v>
      </c>
      <c r="C100" s="203">
        <v>1645771</v>
      </c>
      <c r="D100" s="203">
        <v>366605.5</v>
      </c>
      <c r="E100" s="203">
        <v>271146</v>
      </c>
      <c r="F100" s="131">
        <f t="shared" si="12"/>
        <v>0.3520594071090851</v>
      </c>
      <c r="G100" s="214">
        <f t="shared" si="13"/>
        <v>0.22275608210376777</v>
      </c>
      <c r="H100" s="122"/>
    </row>
    <row r="101" spans="1:8" ht="15">
      <c r="A101" s="129"/>
      <c r="B101" s="130">
        <f>DATE(2019,9,1)</f>
        <v>43709</v>
      </c>
      <c r="C101" s="203">
        <v>1422549</v>
      </c>
      <c r="D101" s="203">
        <v>323382</v>
      </c>
      <c r="E101" s="203">
        <v>347747</v>
      </c>
      <c r="F101" s="131">
        <f t="shared" si="12"/>
        <v>-0.07006530609897425</v>
      </c>
      <c r="G101" s="214">
        <f t="shared" si="13"/>
        <v>0.22732573710993434</v>
      </c>
      <c r="H101" s="122"/>
    </row>
    <row r="102" spans="1:8" ht="15">
      <c r="A102" s="129"/>
      <c r="B102" s="130">
        <f>DATE(2019,10,1)</f>
        <v>43739</v>
      </c>
      <c r="C102" s="203">
        <v>1396946</v>
      </c>
      <c r="D102" s="203">
        <v>301934</v>
      </c>
      <c r="E102" s="203">
        <v>240203.5</v>
      </c>
      <c r="F102" s="131">
        <f t="shared" si="12"/>
        <v>0.2569925084355557</v>
      </c>
      <c r="G102" s="214">
        <f t="shared" si="13"/>
        <v>0.2161386338484093</v>
      </c>
      <c r="H102" s="122"/>
    </row>
    <row r="103" spans="1:8" ht="15">
      <c r="A103" s="129"/>
      <c r="B103" s="130">
        <f>DATE(2019,11,1)</f>
        <v>43770</v>
      </c>
      <c r="C103" s="203">
        <v>1457385</v>
      </c>
      <c r="D103" s="203">
        <v>378106</v>
      </c>
      <c r="E103" s="203">
        <v>171704.5</v>
      </c>
      <c r="F103" s="131">
        <f t="shared" si="12"/>
        <v>1.2020739118660257</v>
      </c>
      <c r="G103" s="214">
        <f t="shared" si="13"/>
        <v>0.2594413967482855</v>
      </c>
      <c r="H103" s="122"/>
    </row>
    <row r="104" spans="1:8" ht="15">
      <c r="A104" s="129"/>
      <c r="B104" s="130">
        <f>DATE(2019,12,1)</f>
        <v>43800</v>
      </c>
      <c r="C104" s="203">
        <v>1230603</v>
      </c>
      <c r="D104" s="203">
        <v>350445.5</v>
      </c>
      <c r="E104" s="203">
        <v>334648.5</v>
      </c>
      <c r="F104" s="131">
        <f t="shared" si="12"/>
        <v>0.04720475364449564</v>
      </c>
      <c r="G104" s="214">
        <f t="shared" si="13"/>
        <v>0.28477543123168075</v>
      </c>
      <c r="H104" s="122"/>
    </row>
    <row r="105" spans="1:8" ht="15">
      <c r="A105" s="129"/>
      <c r="B105" s="130">
        <f>DATE(2020,1,1)</f>
        <v>43831</v>
      </c>
      <c r="C105" s="203">
        <v>1325748</v>
      </c>
      <c r="D105" s="203">
        <v>284016.5</v>
      </c>
      <c r="E105" s="203">
        <v>312324</v>
      </c>
      <c r="F105" s="131">
        <f t="shared" si="12"/>
        <v>-0.09063504565771442</v>
      </c>
      <c r="G105" s="214">
        <f t="shared" si="13"/>
        <v>0.21423113593231896</v>
      </c>
      <c r="H105" s="122"/>
    </row>
    <row r="106" spans="1:8" ht="15">
      <c r="A106" s="129"/>
      <c r="B106" s="130">
        <f>DATE(2020,2,1)</f>
        <v>43862</v>
      </c>
      <c r="C106" s="203">
        <v>1430992</v>
      </c>
      <c r="D106" s="203">
        <v>306224.5</v>
      </c>
      <c r="E106" s="203">
        <v>300723</v>
      </c>
      <c r="F106" s="131">
        <f t="shared" si="12"/>
        <v>0.018294244204799765</v>
      </c>
      <c r="G106" s="214">
        <f t="shared" si="13"/>
        <v>0.21399455762156602</v>
      </c>
      <c r="H106" s="122"/>
    </row>
    <row r="107" spans="1:8" ht="15">
      <c r="A107" s="129"/>
      <c r="B107" s="130">
        <f>DATE(2020,3,1)</f>
        <v>43891</v>
      </c>
      <c r="C107" s="203">
        <v>893773</v>
      </c>
      <c r="D107" s="203">
        <v>205020.5</v>
      </c>
      <c r="E107" s="203">
        <v>350610.26</v>
      </c>
      <c r="F107" s="131">
        <f t="shared" si="12"/>
        <v>-0.41524671867845514</v>
      </c>
      <c r="G107" s="214">
        <f t="shared" si="13"/>
        <v>0.22938766331048263</v>
      </c>
      <c r="H107" s="122"/>
    </row>
    <row r="108" spans="1:8" ht="15">
      <c r="A108" s="129"/>
      <c r="B108" s="130">
        <f>DATE(2020,4,1)</f>
        <v>43922</v>
      </c>
      <c r="C108" s="203">
        <v>0</v>
      </c>
      <c r="D108" s="203">
        <v>0</v>
      </c>
      <c r="E108" s="203">
        <v>345746.5</v>
      </c>
      <c r="F108" s="131">
        <f t="shared" si="12"/>
        <v>-1</v>
      </c>
      <c r="G108" s="214">
        <v>0</v>
      </c>
      <c r="H108" s="122"/>
    </row>
    <row r="109" spans="1:8" ht="15">
      <c r="A109" s="129"/>
      <c r="B109" s="130">
        <f>DATE(2020,5,1)</f>
        <v>43952</v>
      </c>
      <c r="C109" s="203">
        <v>0</v>
      </c>
      <c r="D109" s="203">
        <v>0</v>
      </c>
      <c r="E109" s="203">
        <v>361616.5</v>
      </c>
      <c r="F109" s="131">
        <f t="shared" si="12"/>
        <v>-1</v>
      </c>
      <c r="G109" s="214">
        <v>0</v>
      </c>
      <c r="H109" s="122"/>
    </row>
    <row r="110" spans="1:8" ht="15">
      <c r="A110" s="129"/>
      <c r="B110" s="130">
        <v>44002</v>
      </c>
      <c r="C110" s="203">
        <v>1025450</v>
      </c>
      <c r="D110" s="203">
        <v>228612</v>
      </c>
      <c r="E110" s="203">
        <v>289446</v>
      </c>
      <c r="F110" s="131">
        <f t="shared" si="12"/>
        <v>-0.21017391845111005</v>
      </c>
      <c r="G110" s="214">
        <f>D110/C110</f>
        <v>0.22293822224389293</v>
      </c>
      <c r="H110" s="122"/>
    </row>
    <row r="111" spans="1:8" ht="15.75" customHeight="1" thickBot="1">
      <c r="A111" s="129"/>
      <c r="B111" s="130"/>
      <c r="C111" s="203"/>
      <c r="D111" s="203"/>
      <c r="E111" s="203"/>
      <c r="F111" s="131"/>
      <c r="G111" s="214"/>
      <c r="H111" s="122"/>
    </row>
    <row r="112" spans="1:8" ht="16.5" thickBot="1" thickTop="1">
      <c r="A112" s="140" t="s">
        <v>14</v>
      </c>
      <c r="B112" s="141"/>
      <c r="C112" s="206">
        <f>SUM(C99:C111)</f>
        <v>13257575</v>
      </c>
      <c r="D112" s="260">
        <f>SUM(D99:D111)</f>
        <v>2999767.5</v>
      </c>
      <c r="E112" s="206">
        <f>SUM(E99:E111)</f>
        <v>3721078.26</v>
      </c>
      <c r="F112" s="268">
        <f>(+D112-E112)/E112</f>
        <v>-0.19384455515321514</v>
      </c>
      <c r="G112" s="266">
        <f>D112/C112</f>
        <v>0.226268190072468</v>
      </c>
      <c r="H112" s="122"/>
    </row>
    <row r="113" spans="1:8" ht="15.75" customHeight="1" thickTop="1">
      <c r="A113" s="129"/>
      <c r="B113" s="138"/>
      <c r="C113" s="204"/>
      <c r="D113" s="204"/>
      <c r="E113" s="204"/>
      <c r="F113" s="139"/>
      <c r="G113" s="215"/>
      <c r="H113" s="122"/>
    </row>
    <row r="114" spans="1:8" ht="15">
      <c r="A114" s="129" t="s">
        <v>55</v>
      </c>
      <c r="B114" s="130">
        <f>DATE(2019,7,1)</f>
        <v>43647</v>
      </c>
      <c r="C114" s="203">
        <v>11352765</v>
      </c>
      <c r="D114" s="203">
        <v>1702644.86</v>
      </c>
      <c r="E114" s="203">
        <v>2057880.1</v>
      </c>
      <c r="F114" s="131">
        <f aca="true" t="shared" si="14" ref="F114:F125">(+D114-E114)/E114</f>
        <v>-0.17262193263834952</v>
      </c>
      <c r="G114" s="214">
        <f aca="true" t="shared" si="15" ref="G114:G122">D114/C114</f>
        <v>0.1499762269367859</v>
      </c>
      <c r="H114" s="122"/>
    </row>
    <row r="115" spans="1:8" ht="15">
      <c r="A115" s="129"/>
      <c r="B115" s="130">
        <f>DATE(2019,8,1)</f>
        <v>43678</v>
      </c>
      <c r="C115" s="203">
        <v>11116688</v>
      </c>
      <c r="D115" s="203">
        <v>2308275.88</v>
      </c>
      <c r="E115" s="203">
        <v>2105874.34</v>
      </c>
      <c r="F115" s="131">
        <f t="shared" si="14"/>
        <v>0.0961128288404901</v>
      </c>
      <c r="G115" s="214">
        <f t="shared" si="15"/>
        <v>0.2076406102249159</v>
      </c>
      <c r="H115" s="122"/>
    </row>
    <row r="116" spans="1:8" ht="15">
      <c r="A116" s="129"/>
      <c r="B116" s="130">
        <f>DATE(2019,9,1)</f>
        <v>43709</v>
      </c>
      <c r="C116" s="203">
        <v>10317715</v>
      </c>
      <c r="D116" s="203">
        <v>1996051.56</v>
      </c>
      <c r="E116" s="203">
        <v>2555133.64</v>
      </c>
      <c r="F116" s="131">
        <f t="shared" si="14"/>
        <v>-0.21880737322216934</v>
      </c>
      <c r="G116" s="214">
        <f t="shared" si="15"/>
        <v>0.19345868343911418</v>
      </c>
      <c r="H116" s="122"/>
    </row>
    <row r="117" spans="1:8" ht="15">
      <c r="A117" s="129"/>
      <c r="B117" s="130">
        <f>DATE(2019,10,1)</f>
        <v>43739</v>
      </c>
      <c r="C117" s="203">
        <v>10237727</v>
      </c>
      <c r="D117" s="203">
        <v>2026195.69</v>
      </c>
      <c r="E117" s="203">
        <v>2662687.6</v>
      </c>
      <c r="F117" s="131">
        <f t="shared" si="14"/>
        <v>-0.23904115150421706</v>
      </c>
      <c r="G117" s="214">
        <f t="shared" si="15"/>
        <v>0.19791460448203005</v>
      </c>
      <c r="H117" s="122"/>
    </row>
    <row r="118" spans="1:8" ht="15">
      <c r="A118" s="129"/>
      <c r="B118" s="130">
        <f>DATE(2019,11,1)</f>
        <v>43770</v>
      </c>
      <c r="C118" s="203">
        <v>9911473</v>
      </c>
      <c r="D118" s="203">
        <v>1903112.96</v>
      </c>
      <c r="E118" s="203">
        <v>2453062.82</v>
      </c>
      <c r="F118" s="131">
        <f t="shared" si="14"/>
        <v>-0.22418906499915886</v>
      </c>
      <c r="G118" s="214">
        <f t="shared" si="15"/>
        <v>0.1920111127780906</v>
      </c>
      <c r="H118" s="122"/>
    </row>
    <row r="119" spans="1:8" ht="15">
      <c r="A119" s="129"/>
      <c r="B119" s="130">
        <f>DATE(2019,12,1)</f>
        <v>43800</v>
      </c>
      <c r="C119" s="203">
        <v>10227494</v>
      </c>
      <c r="D119" s="203">
        <v>1980334.65</v>
      </c>
      <c r="E119" s="203">
        <v>2360180.63</v>
      </c>
      <c r="F119" s="131">
        <f t="shared" si="14"/>
        <v>-0.1609393684414739</v>
      </c>
      <c r="G119" s="214">
        <f t="shared" si="15"/>
        <v>0.19362853207247052</v>
      </c>
      <c r="H119" s="122"/>
    </row>
    <row r="120" spans="1:8" ht="15">
      <c r="A120" s="129"/>
      <c r="B120" s="130">
        <f>DATE(2020,1,1)</f>
        <v>43831</v>
      </c>
      <c r="C120" s="203">
        <v>9698406</v>
      </c>
      <c r="D120" s="203">
        <v>2178926.1</v>
      </c>
      <c r="E120" s="203">
        <v>2536749.79</v>
      </c>
      <c r="F120" s="131">
        <f t="shared" si="14"/>
        <v>-0.14105596516083674</v>
      </c>
      <c r="G120" s="214">
        <f t="shared" si="15"/>
        <v>0.22466847644860405</v>
      </c>
      <c r="H120" s="122"/>
    </row>
    <row r="121" spans="1:8" ht="15">
      <c r="A121" s="129"/>
      <c r="B121" s="130">
        <f>DATE(2020,2,1)</f>
        <v>43862</v>
      </c>
      <c r="C121" s="203">
        <v>10085104</v>
      </c>
      <c r="D121" s="203">
        <v>2379520.27</v>
      </c>
      <c r="E121" s="203">
        <v>1828257.84</v>
      </c>
      <c r="F121" s="131">
        <f t="shared" si="14"/>
        <v>0.30152335077638714</v>
      </c>
      <c r="G121" s="214">
        <f t="shared" si="15"/>
        <v>0.23594404876737018</v>
      </c>
      <c r="H121" s="122"/>
    </row>
    <row r="122" spans="1:8" ht="15">
      <c r="A122" s="129"/>
      <c r="B122" s="130">
        <f>DATE(2020,3,1)</f>
        <v>43891</v>
      </c>
      <c r="C122" s="203">
        <v>5084593</v>
      </c>
      <c r="D122" s="203">
        <v>1002834.07</v>
      </c>
      <c r="E122" s="203">
        <v>2606223</v>
      </c>
      <c r="F122" s="131">
        <f t="shared" si="14"/>
        <v>-0.6152155552306922</v>
      </c>
      <c r="G122" s="214">
        <f t="shared" si="15"/>
        <v>0.1972299592120746</v>
      </c>
      <c r="H122" s="122"/>
    </row>
    <row r="123" spans="1:8" ht="15">
      <c r="A123" s="129"/>
      <c r="B123" s="130">
        <f>DATE(2020,4,1)</f>
        <v>43922</v>
      </c>
      <c r="C123" s="203">
        <v>0</v>
      </c>
      <c r="D123" s="203">
        <v>0</v>
      </c>
      <c r="E123" s="203">
        <v>2421994.13</v>
      </c>
      <c r="F123" s="131">
        <f t="shared" si="14"/>
        <v>-1</v>
      </c>
      <c r="G123" s="214">
        <v>0</v>
      </c>
      <c r="H123" s="122"/>
    </row>
    <row r="124" spans="1:8" ht="15">
      <c r="A124" s="129"/>
      <c r="B124" s="130">
        <f>DATE(2020,5,1)</f>
        <v>43952</v>
      </c>
      <c r="C124" s="203">
        <v>0</v>
      </c>
      <c r="D124" s="203">
        <v>0</v>
      </c>
      <c r="E124" s="203">
        <v>2704491.56</v>
      </c>
      <c r="F124" s="131">
        <f t="shared" si="14"/>
        <v>-1</v>
      </c>
      <c r="G124" s="214">
        <v>0</v>
      </c>
      <c r="H124" s="122"/>
    </row>
    <row r="125" spans="1:8" ht="15">
      <c r="A125" s="129"/>
      <c r="B125" s="130">
        <v>44002</v>
      </c>
      <c r="C125" s="203">
        <v>2978898</v>
      </c>
      <c r="D125" s="203">
        <v>787140.5</v>
      </c>
      <c r="E125" s="203">
        <v>2244184</v>
      </c>
      <c r="F125" s="131">
        <f t="shared" si="14"/>
        <v>-0.6492531361064868</v>
      </c>
      <c r="G125" s="214">
        <f>D125/C125</f>
        <v>0.2642388225444443</v>
      </c>
      <c r="H125" s="122"/>
    </row>
    <row r="126" spans="1:8" ht="15.75" customHeight="1" thickBot="1">
      <c r="A126" s="129"/>
      <c r="B126" s="130"/>
      <c r="C126" s="203"/>
      <c r="D126" s="203"/>
      <c r="E126" s="203"/>
      <c r="F126" s="131"/>
      <c r="G126" s="214"/>
      <c r="H126" s="122"/>
    </row>
    <row r="127" spans="1:8" ht="16.5" thickBot="1" thickTop="1">
      <c r="A127" s="140" t="s">
        <v>14</v>
      </c>
      <c r="B127" s="141"/>
      <c r="C127" s="205">
        <f>SUM(C114:C126)</f>
        <v>91010863</v>
      </c>
      <c r="D127" s="205">
        <f>SUM(D114:D126)</f>
        <v>18265036.54</v>
      </c>
      <c r="E127" s="205">
        <f>SUM(E114:E126)</f>
        <v>28536719.449999996</v>
      </c>
      <c r="F127" s="142">
        <f>(+D127-E127)/E127</f>
        <v>-0.3599461713879658</v>
      </c>
      <c r="G127" s="216">
        <f>D127/C127</f>
        <v>0.20069073007251892</v>
      </c>
      <c r="H127" s="122"/>
    </row>
    <row r="128" spans="1:8" ht="15.75" customHeight="1" thickTop="1">
      <c r="A128" s="137"/>
      <c r="B128" s="138"/>
      <c r="C128" s="204"/>
      <c r="D128" s="204"/>
      <c r="E128" s="204"/>
      <c r="F128" s="139"/>
      <c r="G128" s="215"/>
      <c r="H128" s="122"/>
    </row>
    <row r="129" spans="1:8" ht="15">
      <c r="A129" s="129" t="s">
        <v>18</v>
      </c>
      <c r="B129" s="130">
        <f>DATE(2019,7,1)</f>
        <v>43647</v>
      </c>
      <c r="C129" s="203">
        <v>12048638</v>
      </c>
      <c r="D129" s="203">
        <v>2126431.5</v>
      </c>
      <c r="E129" s="203">
        <v>2729067.84</v>
      </c>
      <c r="F129" s="131">
        <f aca="true" t="shared" si="16" ref="F129:F140">(+D129-E129)/E129</f>
        <v>-0.220821311646104</v>
      </c>
      <c r="G129" s="214">
        <f aca="true" t="shared" si="17" ref="G129:G137">D129/C129</f>
        <v>0.1764872925885897</v>
      </c>
      <c r="H129" s="122"/>
    </row>
    <row r="130" spans="1:8" ht="15">
      <c r="A130" s="129"/>
      <c r="B130" s="130">
        <f>DATE(2019,8,1)</f>
        <v>43678</v>
      </c>
      <c r="C130" s="203">
        <v>12757078</v>
      </c>
      <c r="D130" s="203">
        <v>2726871</v>
      </c>
      <c r="E130" s="203">
        <v>2970026</v>
      </c>
      <c r="F130" s="131">
        <f t="shared" si="16"/>
        <v>-0.08186965366633155</v>
      </c>
      <c r="G130" s="214">
        <f t="shared" si="17"/>
        <v>0.21375357272253098</v>
      </c>
      <c r="H130" s="122"/>
    </row>
    <row r="131" spans="1:8" ht="15">
      <c r="A131" s="129"/>
      <c r="B131" s="130">
        <f>DATE(2019,9,1)</f>
        <v>43709</v>
      </c>
      <c r="C131" s="203">
        <v>12239206</v>
      </c>
      <c r="D131" s="203">
        <v>2679876</v>
      </c>
      <c r="E131" s="203">
        <v>2637413.5</v>
      </c>
      <c r="F131" s="131">
        <f t="shared" si="16"/>
        <v>0.016100054087081907</v>
      </c>
      <c r="G131" s="214">
        <f t="shared" si="17"/>
        <v>0.21895832131594156</v>
      </c>
      <c r="H131" s="122"/>
    </row>
    <row r="132" spans="1:8" ht="15">
      <c r="A132" s="129"/>
      <c r="B132" s="130">
        <f>DATE(2019,10,1)</f>
        <v>43739</v>
      </c>
      <c r="C132" s="203">
        <v>12190070</v>
      </c>
      <c r="D132" s="203">
        <v>3088329</v>
      </c>
      <c r="E132" s="203">
        <v>1894492</v>
      </c>
      <c r="F132" s="131">
        <f t="shared" si="16"/>
        <v>0.6301620698319127</v>
      </c>
      <c r="G132" s="214">
        <f t="shared" si="17"/>
        <v>0.25334792991344596</v>
      </c>
      <c r="H132" s="122"/>
    </row>
    <row r="133" spans="1:8" ht="15">
      <c r="A133" s="129"/>
      <c r="B133" s="130">
        <f>DATE(2019,11,1)</f>
        <v>43770</v>
      </c>
      <c r="C133" s="203">
        <v>12234070</v>
      </c>
      <c r="D133" s="203">
        <v>2810591.5</v>
      </c>
      <c r="E133" s="203">
        <v>2412367</v>
      </c>
      <c r="F133" s="131">
        <f t="shared" si="16"/>
        <v>0.16507625083579738</v>
      </c>
      <c r="G133" s="214">
        <f t="shared" si="17"/>
        <v>0.2297347898123846</v>
      </c>
      <c r="H133" s="122"/>
    </row>
    <row r="134" spans="1:8" ht="15">
      <c r="A134" s="129"/>
      <c r="B134" s="130">
        <f>DATE(2019,12,1)</f>
        <v>43800</v>
      </c>
      <c r="C134" s="203">
        <v>11492519.5</v>
      </c>
      <c r="D134" s="203">
        <v>1704640.5</v>
      </c>
      <c r="E134" s="203">
        <v>2615452.5</v>
      </c>
      <c r="F134" s="131">
        <f t="shared" si="16"/>
        <v>-0.348242608114657</v>
      </c>
      <c r="G134" s="214">
        <f t="shared" si="17"/>
        <v>0.14832609159375365</v>
      </c>
      <c r="H134" s="122"/>
    </row>
    <row r="135" spans="1:8" ht="15">
      <c r="A135" s="129"/>
      <c r="B135" s="130">
        <f>DATE(2020,1,1)</f>
        <v>43831</v>
      </c>
      <c r="C135" s="203">
        <v>11073267.5</v>
      </c>
      <c r="D135" s="203">
        <v>2631202</v>
      </c>
      <c r="E135" s="203">
        <v>2027761</v>
      </c>
      <c r="F135" s="131">
        <f t="shared" si="16"/>
        <v>0.2975898047156445</v>
      </c>
      <c r="G135" s="214">
        <f t="shared" si="17"/>
        <v>0.23761748734057042</v>
      </c>
      <c r="H135" s="122"/>
    </row>
    <row r="136" spans="1:8" ht="15">
      <c r="A136" s="129"/>
      <c r="B136" s="130">
        <f>DATE(2020,2,1)</f>
        <v>43862</v>
      </c>
      <c r="C136" s="203">
        <v>12696442</v>
      </c>
      <c r="D136" s="203">
        <v>2680732</v>
      </c>
      <c r="E136" s="203">
        <v>2349146</v>
      </c>
      <c r="F136" s="131">
        <f t="shared" si="16"/>
        <v>0.1411517206678512</v>
      </c>
      <c r="G136" s="214">
        <f t="shared" si="17"/>
        <v>0.2111404124084527</v>
      </c>
      <c r="H136" s="122"/>
    </row>
    <row r="137" spans="1:8" ht="15">
      <c r="A137" s="129"/>
      <c r="B137" s="130">
        <f>DATE(2020,3,1)</f>
        <v>43891</v>
      </c>
      <c r="C137" s="203">
        <v>6044720</v>
      </c>
      <c r="D137" s="203">
        <v>1365411.5</v>
      </c>
      <c r="E137" s="203">
        <v>2873476</v>
      </c>
      <c r="F137" s="131">
        <f t="shared" si="16"/>
        <v>-0.5248223754087384</v>
      </c>
      <c r="G137" s="214">
        <f t="shared" si="17"/>
        <v>0.2258849872285234</v>
      </c>
      <c r="H137" s="122"/>
    </row>
    <row r="138" spans="1:8" ht="15">
      <c r="A138" s="129"/>
      <c r="B138" s="130">
        <f>DATE(2020,4,1)</f>
        <v>43922</v>
      </c>
      <c r="C138" s="203">
        <v>0</v>
      </c>
      <c r="D138" s="203">
        <v>0</v>
      </c>
      <c r="E138" s="203">
        <v>2435726.5</v>
      </c>
      <c r="F138" s="131">
        <f t="shared" si="16"/>
        <v>-1</v>
      </c>
      <c r="G138" s="214">
        <v>0</v>
      </c>
      <c r="H138" s="122"/>
    </row>
    <row r="139" spans="1:8" ht="15">
      <c r="A139" s="129"/>
      <c r="B139" s="130">
        <f>DATE(2020,5,1)</f>
        <v>43952</v>
      </c>
      <c r="C139" s="203">
        <v>0</v>
      </c>
      <c r="D139" s="203">
        <v>0</v>
      </c>
      <c r="E139" s="203">
        <v>2901413</v>
      </c>
      <c r="F139" s="131">
        <f t="shared" si="16"/>
        <v>-1</v>
      </c>
      <c r="G139" s="214">
        <v>0</v>
      </c>
      <c r="H139" s="122"/>
    </row>
    <row r="140" spans="1:8" ht="15">
      <c r="A140" s="129"/>
      <c r="B140" s="130">
        <v>44002</v>
      </c>
      <c r="C140" s="203">
        <v>7690424</v>
      </c>
      <c r="D140" s="203">
        <v>1342861</v>
      </c>
      <c r="E140" s="203">
        <v>2356921.5</v>
      </c>
      <c r="F140" s="131">
        <f t="shared" si="16"/>
        <v>-0.4302478890366098</v>
      </c>
      <c r="G140" s="214">
        <f>D140/C140</f>
        <v>0.17461468964520033</v>
      </c>
      <c r="H140" s="122"/>
    </row>
    <row r="141" spans="1:8" ht="15.75" customHeight="1" thickBot="1">
      <c r="A141" s="129"/>
      <c r="B141" s="130"/>
      <c r="C141" s="203"/>
      <c r="D141" s="203"/>
      <c r="E141" s="203"/>
      <c r="F141" s="131"/>
      <c r="G141" s="214"/>
      <c r="H141" s="122"/>
    </row>
    <row r="142" spans="1:8" ht="16.5" thickBot="1" thickTop="1">
      <c r="A142" s="140" t="s">
        <v>14</v>
      </c>
      <c r="B142" s="141"/>
      <c r="C142" s="205">
        <f>SUM(C129:C141)</f>
        <v>110466435</v>
      </c>
      <c r="D142" s="205">
        <f>SUM(D129:D141)</f>
        <v>23156946</v>
      </c>
      <c r="E142" s="205">
        <f>SUM(E129:E141)</f>
        <v>30203262.84</v>
      </c>
      <c r="F142" s="142">
        <f>(+D142-E142)/E142</f>
        <v>-0.23329654406305195</v>
      </c>
      <c r="G142" s="216">
        <f>D142/C142</f>
        <v>0.20962879810505336</v>
      </c>
      <c r="H142" s="122"/>
    </row>
    <row r="143" spans="1:8" ht="15.75" customHeight="1" thickTop="1">
      <c r="A143" s="137"/>
      <c r="B143" s="138"/>
      <c r="C143" s="204"/>
      <c r="D143" s="204"/>
      <c r="E143" s="204"/>
      <c r="F143" s="139"/>
      <c r="G143" s="215"/>
      <c r="H143" s="122"/>
    </row>
    <row r="144" spans="1:8" ht="15">
      <c r="A144" s="129" t="s">
        <v>58</v>
      </c>
      <c r="B144" s="130">
        <f>DATE(2019,7,1)</f>
        <v>43647</v>
      </c>
      <c r="C144" s="203">
        <v>11570649</v>
      </c>
      <c r="D144" s="203">
        <v>1977732.9</v>
      </c>
      <c r="E144" s="203">
        <v>2887936.73</v>
      </c>
      <c r="F144" s="131">
        <f aca="true" t="shared" si="18" ref="F144:F155">(+D144-E144)/E144</f>
        <v>-0.31517443597180195</v>
      </c>
      <c r="G144" s="214">
        <f aca="true" t="shared" si="19" ref="G144:G152">D144/C144</f>
        <v>0.1709267042842627</v>
      </c>
      <c r="H144" s="122"/>
    </row>
    <row r="145" spans="1:8" ht="15">
      <c r="A145" s="129"/>
      <c r="B145" s="130">
        <f>DATE(2019,8,1)</f>
        <v>43678</v>
      </c>
      <c r="C145" s="203">
        <v>12902308</v>
      </c>
      <c r="D145" s="203">
        <v>2649402.5</v>
      </c>
      <c r="E145" s="203">
        <v>2450226.84</v>
      </c>
      <c r="F145" s="131">
        <f t="shared" si="18"/>
        <v>0.08128866142042594</v>
      </c>
      <c r="G145" s="214">
        <f t="shared" si="19"/>
        <v>0.2053432998189161</v>
      </c>
      <c r="H145" s="122"/>
    </row>
    <row r="146" spans="1:8" ht="15">
      <c r="A146" s="129"/>
      <c r="B146" s="130">
        <f>DATE(2019,9,1)</f>
        <v>43709</v>
      </c>
      <c r="C146" s="203">
        <v>12612498</v>
      </c>
      <c r="D146" s="203">
        <v>2515306.23</v>
      </c>
      <c r="E146" s="203">
        <v>1932757.4</v>
      </c>
      <c r="F146" s="131">
        <f t="shared" si="18"/>
        <v>0.30140814879301464</v>
      </c>
      <c r="G146" s="214">
        <f t="shared" si="19"/>
        <v>0.19942966333869785</v>
      </c>
      <c r="H146" s="122"/>
    </row>
    <row r="147" spans="1:8" ht="15">
      <c r="A147" s="129"/>
      <c r="B147" s="130">
        <f>DATE(2019,10,1)</f>
        <v>43739</v>
      </c>
      <c r="C147" s="203">
        <v>13262208</v>
      </c>
      <c r="D147" s="203">
        <v>2541006.48</v>
      </c>
      <c r="E147" s="203">
        <v>1108774.5</v>
      </c>
      <c r="F147" s="131">
        <f t="shared" si="18"/>
        <v>1.291725215542024</v>
      </c>
      <c r="G147" s="214">
        <f t="shared" si="19"/>
        <v>0.1915975439383849</v>
      </c>
      <c r="H147" s="122"/>
    </row>
    <row r="148" spans="1:8" ht="15">
      <c r="A148" s="129"/>
      <c r="B148" s="130">
        <f>DATE(2019,11,1)</f>
        <v>43770</v>
      </c>
      <c r="C148" s="203">
        <v>13497353</v>
      </c>
      <c r="D148" s="203">
        <v>2692124.24</v>
      </c>
      <c r="E148" s="203">
        <v>4255264.95</v>
      </c>
      <c r="F148" s="131">
        <f t="shared" si="18"/>
        <v>-0.367342745602715</v>
      </c>
      <c r="G148" s="214">
        <f t="shared" si="19"/>
        <v>0.19945571846568733</v>
      </c>
      <c r="H148" s="122"/>
    </row>
    <row r="149" spans="1:8" ht="15">
      <c r="A149" s="129"/>
      <c r="B149" s="130">
        <f>DATE(2019,12,1)</f>
        <v>43800</v>
      </c>
      <c r="C149" s="203">
        <v>15274965</v>
      </c>
      <c r="D149" s="203">
        <v>2968383.02</v>
      </c>
      <c r="E149" s="203">
        <v>3211966.31</v>
      </c>
      <c r="F149" s="131">
        <f t="shared" si="18"/>
        <v>-0.07583619082231284</v>
      </c>
      <c r="G149" s="214">
        <f t="shared" si="19"/>
        <v>0.19432993921753666</v>
      </c>
      <c r="H149" s="122"/>
    </row>
    <row r="150" spans="1:8" ht="15">
      <c r="A150" s="129"/>
      <c r="B150" s="130">
        <f>DATE(2020,1,1)</f>
        <v>43831</v>
      </c>
      <c r="C150" s="203">
        <v>13322495</v>
      </c>
      <c r="D150" s="203">
        <v>2913355</v>
      </c>
      <c r="E150" s="203">
        <v>2271310.91</v>
      </c>
      <c r="F150" s="131">
        <f t="shared" si="18"/>
        <v>0.28267556289772755</v>
      </c>
      <c r="G150" s="214">
        <f t="shared" si="19"/>
        <v>0.21867938400427248</v>
      </c>
      <c r="H150" s="122"/>
    </row>
    <row r="151" spans="1:8" ht="15">
      <c r="A151" s="129"/>
      <c r="B151" s="130">
        <f>DATE(2020,2,1)</f>
        <v>43862</v>
      </c>
      <c r="C151" s="203">
        <v>12921112</v>
      </c>
      <c r="D151" s="203">
        <v>2214831.51</v>
      </c>
      <c r="E151" s="203">
        <v>2581578.12</v>
      </c>
      <c r="F151" s="131">
        <f t="shared" si="18"/>
        <v>-0.14206295256329501</v>
      </c>
      <c r="G151" s="214">
        <f t="shared" si="19"/>
        <v>0.17141183436843516</v>
      </c>
      <c r="H151" s="122"/>
    </row>
    <row r="152" spans="1:8" ht="15">
      <c r="A152" s="129"/>
      <c r="B152" s="130">
        <f>DATE(2020,3,1)</f>
        <v>43891</v>
      </c>
      <c r="C152" s="203">
        <v>7597827</v>
      </c>
      <c r="D152" s="203">
        <v>1369447.43</v>
      </c>
      <c r="E152" s="203">
        <v>2833063.37</v>
      </c>
      <c r="F152" s="131">
        <f t="shared" si="18"/>
        <v>-0.5166195558837783</v>
      </c>
      <c r="G152" s="214">
        <f t="shared" si="19"/>
        <v>0.18024198629423913</v>
      </c>
      <c r="H152" s="122"/>
    </row>
    <row r="153" spans="1:8" ht="15">
      <c r="A153" s="129"/>
      <c r="B153" s="130">
        <f>DATE(2020,4,1)</f>
        <v>43922</v>
      </c>
      <c r="C153" s="203">
        <v>0</v>
      </c>
      <c r="D153" s="203">
        <v>0</v>
      </c>
      <c r="E153" s="203">
        <v>2304118.92</v>
      </c>
      <c r="F153" s="131">
        <f t="shared" si="18"/>
        <v>-1</v>
      </c>
      <c r="G153" s="214">
        <v>0</v>
      </c>
      <c r="H153" s="122"/>
    </row>
    <row r="154" spans="1:8" ht="15">
      <c r="A154" s="129"/>
      <c r="B154" s="130">
        <f>DATE(2020,5,1)</f>
        <v>43952</v>
      </c>
      <c r="C154" s="203">
        <v>0</v>
      </c>
      <c r="D154" s="203">
        <v>0</v>
      </c>
      <c r="E154" s="203">
        <v>2211814.45</v>
      </c>
      <c r="F154" s="131">
        <f t="shared" si="18"/>
        <v>-1</v>
      </c>
      <c r="G154" s="214">
        <v>0</v>
      </c>
      <c r="H154" s="122"/>
    </row>
    <row r="155" spans="1:8" ht="15">
      <c r="A155" s="129"/>
      <c r="B155" s="130">
        <v>44002</v>
      </c>
      <c r="C155" s="203">
        <v>4032064</v>
      </c>
      <c r="D155" s="203">
        <v>718764.5</v>
      </c>
      <c r="E155" s="203">
        <v>2254897.97</v>
      </c>
      <c r="F155" s="131">
        <f t="shared" si="18"/>
        <v>-0.681243005420773</v>
      </c>
      <c r="G155" s="214">
        <f>D155/C155</f>
        <v>0.17826217540197775</v>
      </c>
      <c r="H155" s="122"/>
    </row>
    <row r="156" spans="1:8" ht="15" thickBot="1">
      <c r="A156" s="132"/>
      <c r="B156" s="130"/>
      <c r="C156" s="203"/>
      <c r="D156" s="203"/>
      <c r="E156" s="203"/>
      <c r="F156" s="131"/>
      <c r="G156" s="214"/>
      <c r="H156" s="122"/>
    </row>
    <row r="157" spans="1:8" ht="16.5" thickBot="1" thickTop="1">
      <c r="A157" s="140" t="s">
        <v>14</v>
      </c>
      <c r="B157" s="141"/>
      <c r="C157" s="206">
        <f>SUM(C144:C156)</f>
        <v>116993479</v>
      </c>
      <c r="D157" s="206">
        <f>SUM(D144:D156)</f>
        <v>22560353.810000002</v>
      </c>
      <c r="E157" s="206">
        <f>SUM(E144:E156)</f>
        <v>30303710.470000003</v>
      </c>
      <c r="F157" s="142">
        <f>(+D157-E157)/E157</f>
        <v>-0.25552503439028534</v>
      </c>
      <c r="G157" s="266">
        <f>D157/C157</f>
        <v>0.19283428446469228</v>
      </c>
      <c r="H157" s="122"/>
    </row>
    <row r="158" spans="1:8" ht="15.75" customHeight="1" thickTop="1">
      <c r="A158" s="137"/>
      <c r="B158" s="138"/>
      <c r="C158" s="204"/>
      <c r="D158" s="204"/>
      <c r="E158" s="204"/>
      <c r="F158" s="139"/>
      <c r="G158" s="218"/>
      <c r="H158" s="122"/>
    </row>
    <row r="159" spans="1:8" ht="15">
      <c r="A159" s="129" t="s">
        <v>59</v>
      </c>
      <c r="B159" s="130">
        <f>DATE(2019,7,1)</f>
        <v>43647</v>
      </c>
      <c r="C159" s="203">
        <v>679874</v>
      </c>
      <c r="D159" s="203">
        <v>135934</v>
      </c>
      <c r="E159" s="203">
        <v>154554.5</v>
      </c>
      <c r="F159" s="131">
        <f aca="true" t="shared" si="20" ref="F159:F170">(+D159-E159)/E159</f>
        <v>-0.12047853669741095</v>
      </c>
      <c r="G159" s="214">
        <f aca="true" t="shared" si="21" ref="G159:G167">D159/C159</f>
        <v>0.19993998888029252</v>
      </c>
      <c r="H159" s="122"/>
    </row>
    <row r="160" spans="1:8" ht="15">
      <c r="A160" s="129"/>
      <c r="B160" s="130">
        <f>DATE(2019,8,1)</f>
        <v>43678</v>
      </c>
      <c r="C160" s="203">
        <v>642745</v>
      </c>
      <c r="D160" s="203">
        <v>134255.5</v>
      </c>
      <c r="E160" s="203">
        <v>228200</v>
      </c>
      <c r="F160" s="131">
        <f t="shared" si="20"/>
        <v>-0.4116761612620508</v>
      </c>
      <c r="G160" s="214">
        <f t="shared" si="21"/>
        <v>0.20887832655252084</v>
      </c>
      <c r="H160" s="122"/>
    </row>
    <row r="161" spans="1:8" ht="15">
      <c r="A161" s="129"/>
      <c r="B161" s="130">
        <f>DATE(2019,9,1)</f>
        <v>43709</v>
      </c>
      <c r="C161" s="203">
        <v>552495</v>
      </c>
      <c r="D161" s="203">
        <v>147952</v>
      </c>
      <c r="E161" s="203">
        <v>133253.5</v>
      </c>
      <c r="F161" s="131">
        <f t="shared" si="20"/>
        <v>0.11030479499600386</v>
      </c>
      <c r="G161" s="214">
        <f t="shared" si="21"/>
        <v>0.26778884876786213</v>
      </c>
      <c r="H161" s="122"/>
    </row>
    <row r="162" spans="1:8" ht="15">
      <c r="A162" s="129"/>
      <c r="B162" s="130">
        <f>DATE(2019,10,1)</f>
        <v>43739</v>
      </c>
      <c r="C162" s="203">
        <v>589373</v>
      </c>
      <c r="D162" s="203">
        <v>160874.5</v>
      </c>
      <c r="E162" s="203">
        <v>183569.5</v>
      </c>
      <c r="F162" s="131">
        <f t="shared" si="20"/>
        <v>-0.12363164904845304</v>
      </c>
      <c r="G162" s="214">
        <f t="shared" si="21"/>
        <v>0.27295872053860626</v>
      </c>
      <c r="H162" s="122"/>
    </row>
    <row r="163" spans="1:8" ht="15">
      <c r="A163" s="129"/>
      <c r="B163" s="130">
        <f>DATE(2019,11,1)</f>
        <v>43770</v>
      </c>
      <c r="C163" s="203">
        <v>659075</v>
      </c>
      <c r="D163" s="203">
        <v>171123.5</v>
      </c>
      <c r="E163" s="203">
        <v>134566.5</v>
      </c>
      <c r="F163" s="131">
        <f t="shared" si="20"/>
        <v>0.2716649388963821</v>
      </c>
      <c r="G163" s="214">
        <f t="shared" si="21"/>
        <v>0.25964192239123013</v>
      </c>
      <c r="H163" s="122"/>
    </row>
    <row r="164" spans="1:8" ht="15">
      <c r="A164" s="129"/>
      <c r="B164" s="130">
        <f>DATE(2019,12,1)</f>
        <v>43800</v>
      </c>
      <c r="C164" s="203">
        <v>700359</v>
      </c>
      <c r="D164" s="203">
        <v>110728</v>
      </c>
      <c r="E164" s="203">
        <v>155643.5</v>
      </c>
      <c r="F164" s="131">
        <f t="shared" si="20"/>
        <v>-0.28857934960342063</v>
      </c>
      <c r="G164" s="214">
        <f t="shared" si="21"/>
        <v>0.15810177351900953</v>
      </c>
      <c r="H164" s="122"/>
    </row>
    <row r="165" spans="1:8" ht="15">
      <c r="A165" s="129"/>
      <c r="B165" s="130">
        <f>DATE(2020,1,1)</f>
        <v>43831</v>
      </c>
      <c r="C165" s="203">
        <v>660528</v>
      </c>
      <c r="D165" s="203">
        <v>199122</v>
      </c>
      <c r="E165" s="203">
        <v>147951.5</v>
      </c>
      <c r="F165" s="131">
        <f t="shared" si="20"/>
        <v>0.34585996086555393</v>
      </c>
      <c r="G165" s="214">
        <f t="shared" si="21"/>
        <v>0.30145883293365305</v>
      </c>
      <c r="H165" s="122"/>
    </row>
    <row r="166" spans="1:8" ht="15">
      <c r="A166" s="129"/>
      <c r="B166" s="130">
        <f>DATE(2020,2,1)</f>
        <v>43862</v>
      </c>
      <c r="C166" s="203">
        <v>635573</v>
      </c>
      <c r="D166" s="203">
        <v>146026</v>
      </c>
      <c r="E166" s="203">
        <v>187673.5</v>
      </c>
      <c r="F166" s="131">
        <f t="shared" si="20"/>
        <v>-0.22191465497259869</v>
      </c>
      <c r="G166" s="214">
        <f t="shared" si="21"/>
        <v>0.2297548826019985</v>
      </c>
      <c r="H166" s="122"/>
    </row>
    <row r="167" spans="1:8" ht="15">
      <c r="A167" s="129"/>
      <c r="B167" s="130">
        <f>DATE(2020,3,1)</f>
        <v>43891</v>
      </c>
      <c r="C167" s="203">
        <v>412929</v>
      </c>
      <c r="D167" s="203">
        <v>106726.5</v>
      </c>
      <c r="E167" s="203">
        <v>187433.5</v>
      </c>
      <c r="F167" s="131">
        <f t="shared" si="20"/>
        <v>-0.4305900492708081</v>
      </c>
      <c r="G167" s="214">
        <f t="shared" si="21"/>
        <v>0.2584621084980711</v>
      </c>
      <c r="H167" s="122"/>
    </row>
    <row r="168" spans="1:8" ht="15">
      <c r="A168" s="129"/>
      <c r="B168" s="130">
        <f>DATE(2020,4,1)</f>
        <v>43922</v>
      </c>
      <c r="C168" s="203">
        <v>0</v>
      </c>
      <c r="D168" s="203">
        <v>0</v>
      </c>
      <c r="E168" s="203">
        <v>118522.5</v>
      </c>
      <c r="F168" s="131">
        <f t="shared" si="20"/>
        <v>-1</v>
      </c>
      <c r="G168" s="214">
        <v>0</v>
      </c>
      <c r="H168" s="122"/>
    </row>
    <row r="169" spans="1:8" ht="15">
      <c r="A169" s="129"/>
      <c r="B169" s="130">
        <f>DATE(2020,5,1)</f>
        <v>43952</v>
      </c>
      <c r="C169" s="203">
        <v>0</v>
      </c>
      <c r="D169" s="203">
        <v>0</v>
      </c>
      <c r="E169" s="203">
        <v>159870.5</v>
      </c>
      <c r="F169" s="131">
        <f t="shared" si="20"/>
        <v>-1</v>
      </c>
      <c r="G169" s="214">
        <v>0</v>
      </c>
      <c r="H169" s="122"/>
    </row>
    <row r="170" spans="1:8" ht="15">
      <c r="A170" s="129"/>
      <c r="B170" s="130">
        <v>44002</v>
      </c>
      <c r="C170" s="203">
        <v>0</v>
      </c>
      <c r="D170" s="203">
        <v>0</v>
      </c>
      <c r="E170" s="203">
        <v>106456.5</v>
      </c>
      <c r="F170" s="131">
        <f t="shared" si="20"/>
        <v>-1</v>
      </c>
      <c r="G170" s="214">
        <v>0</v>
      </c>
      <c r="H170" s="122"/>
    </row>
    <row r="171" spans="1:8" ht="15" thickBot="1">
      <c r="A171" s="132"/>
      <c r="B171" s="133"/>
      <c r="C171" s="203"/>
      <c r="D171" s="203"/>
      <c r="E171" s="203"/>
      <c r="F171" s="131"/>
      <c r="G171" s="214"/>
      <c r="H171" s="122"/>
    </row>
    <row r="172" spans="1:8" ht="16.5" thickBot="1" thickTop="1">
      <c r="A172" s="143" t="s">
        <v>14</v>
      </c>
      <c r="B172" s="144"/>
      <c r="C172" s="206">
        <f>SUM(C159:C171)</f>
        <v>5532951</v>
      </c>
      <c r="D172" s="206">
        <f>SUM(D159:D171)</f>
        <v>1312742</v>
      </c>
      <c r="E172" s="206">
        <f>SUM(E159:E171)</f>
        <v>1897695.5</v>
      </c>
      <c r="F172" s="142">
        <f>(+D172-E172)/E172</f>
        <v>-0.3082441308418553</v>
      </c>
      <c r="G172" s="216">
        <f>D172/C172</f>
        <v>0.2372589238545579</v>
      </c>
      <c r="H172" s="122"/>
    </row>
    <row r="173" spans="1:8" ht="15.75" customHeight="1" thickTop="1">
      <c r="A173" s="129"/>
      <c r="B173" s="133"/>
      <c r="C173" s="203"/>
      <c r="D173" s="203"/>
      <c r="E173" s="203"/>
      <c r="F173" s="131"/>
      <c r="G173" s="217"/>
      <c r="H173" s="122"/>
    </row>
    <row r="174" spans="1:8" ht="15">
      <c r="A174" s="129" t="s">
        <v>40</v>
      </c>
      <c r="B174" s="130">
        <f>DATE(2019,7,1)</f>
        <v>43647</v>
      </c>
      <c r="C174" s="203">
        <v>18492660</v>
      </c>
      <c r="D174" s="203">
        <v>3678875.65</v>
      </c>
      <c r="E174" s="203">
        <v>4013253.36</v>
      </c>
      <c r="F174" s="131">
        <f aca="true" t="shared" si="22" ref="F174:F185">(+D174-E174)/E174</f>
        <v>-0.08331836542709578</v>
      </c>
      <c r="G174" s="214">
        <f aca="true" t="shared" si="23" ref="G174:G182">D174/C174</f>
        <v>0.19893707287107426</v>
      </c>
      <c r="H174" s="122"/>
    </row>
    <row r="175" spans="1:8" ht="15">
      <c r="A175" s="129"/>
      <c r="B175" s="130">
        <f>DATE(2019,8,1)</f>
        <v>43678</v>
      </c>
      <c r="C175" s="203">
        <v>18036604</v>
      </c>
      <c r="D175" s="203">
        <v>3806318.41</v>
      </c>
      <c r="E175" s="203">
        <v>4154776.6</v>
      </c>
      <c r="F175" s="131">
        <f t="shared" si="22"/>
        <v>-0.0838692963660188</v>
      </c>
      <c r="G175" s="214">
        <f t="shared" si="23"/>
        <v>0.2110329865866102</v>
      </c>
      <c r="H175" s="122"/>
    </row>
    <row r="176" spans="1:8" ht="15">
      <c r="A176" s="129"/>
      <c r="B176" s="130">
        <f>DATE(2019,9,1)</f>
        <v>43709</v>
      </c>
      <c r="C176" s="203">
        <v>19700815</v>
      </c>
      <c r="D176" s="203">
        <v>3987675.53</v>
      </c>
      <c r="E176" s="203">
        <v>3317290.2</v>
      </c>
      <c r="F176" s="131">
        <f t="shared" si="22"/>
        <v>0.20208823756209196</v>
      </c>
      <c r="G176" s="214">
        <f t="shared" si="23"/>
        <v>0.20241170377976747</v>
      </c>
      <c r="H176" s="122"/>
    </row>
    <row r="177" spans="1:8" ht="15">
      <c r="A177" s="129"/>
      <c r="B177" s="130">
        <f>DATE(2019,10,1)</f>
        <v>43739</v>
      </c>
      <c r="C177" s="203">
        <v>15446007</v>
      </c>
      <c r="D177" s="203">
        <v>3485177.78</v>
      </c>
      <c r="E177" s="203">
        <v>3010473</v>
      </c>
      <c r="F177" s="131">
        <f t="shared" si="22"/>
        <v>0.1576844502508409</v>
      </c>
      <c r="G177" s="214">
        <f t="shared" si="23"/>
        <v>0.22563616473823944</v>
      </c>
      <c r="H177" s="122"/>
    </row>
    <row r="178" spans="1:8" ht="15">
      <c r="A178" s="129"/>
      <c r="B178" s="130">
        <f>DATE(2019,11,1)</f>
        <v>43770</v>
      </c>
      <c r="C178" s="203">
        <v>16313312</v>
      </c>
      <c r="D178" s="203">
        <v>3099140.29</v>
      </c>
      <c r="E178" s="203">
        <v>3636412.28</v>
      </c>
      <c r="F178" s="131">
        <f t="shared" si="22"/>
        <v>-0.14774782082740073</v>
      </c>
      <c r="G178" s="214">
        <f t="shared" si="23"/>
        <v>0.18997615505668008</v>
      </c>
      <c r="H178" s="122"/>
    </row>
    <row r="179" spans="1:8" ht="15">
      <c r="A179" s="129"/>
      <c r="B179" s="130">
        <f>DATE(2019,12,1)</f>
        <v>43800</v>
      </c>
      <c r="C179" s="203">
        <v>17539177</v>
      </c>
      <c r="D179" s="203">
        <v>4022599</v>
      </c>
      <c r="E179" s="203">
        <v>3158388.6</v>
      </c>
      <c r="F179" s="131">
        <f t="shared" si="22"/>
        <v>0.27362383463516804</v>
      </c>
      <c r="G179" s="214">
        <f t="shared" si="23"/>
        <v>0.22934935886672447</v>
      </c>
      <c r="H179" s="122"/>
    </row>
    <row r="180" spans="1:8" ht="15">
      <c r="A180" s="129"/>
      <c r="B180" s="130">
        <f>DATE(2020,1,1)</f>
        <v>43831</v>
      </c>
      <c r="C180" s="203">
        <v>17379592</v>
      </c>
      <c r="D180" s="203">
        <v>3993751.63</v>
      </c>
      <c r="E180" s="203">
        <v>3469211.92</v>
      </c>
      <c r="F180" s="131">
        <f t="shared" si="22"/>
        <v>0.151198520613869</v>
      </c>
      <c r="G180" s="214">
        <f t="shared" si="23"/>
        <v>0.22979547678679682</v>
      </c>
      <c r="H180" s="122"/>
    </row>
    <row r="181" spans="1:8" ht="15">
      <c r="A181" s="129"/>
      <c r="B181" s="130">
        <f>DATE(2020,2,1)</f>
        <v>43862</v>
      </c>
      <c r="C181" s="203">
        <v>18244122</v>
      </c>
      <c r="D181" s="203">
        <v>3495544.26</v>
      </c>
      <c r="E181" s="203">
        <v>3743256.73</v>
      </c>
      <c r="F181" s="131">
        <f t="shared" si="22"/>
        <v>-0.06617565608437448</v>
      </c>
      <c r="G181" s="214">
        <f t="shared" si="23"/>
        <v>0.19159838220770503</v>
      </c>
      <c r="H181" s="122"/>
    </row>
    <row r="182" spans="1:8" ht="15">
      <c r="A182" s="129"/>
      <c r="B182" s="130">
        <f>DATE(2020,3,1)</f>
        <v>43891</v>
      </c>
      <c r="C182" s="203">
        <v>10897669</v>
      </c>
      <c r="D182" s="203">
        <v>2577359.47</v>
      </c>
      <c r="E182" s="203">
        <v>3921104.66</v>
      </c>
      <c r="F182" s="131">
        <f t="shared" si="22"/>
        <v>-0.34269556834527337</v>
      </c>
      <c r="G182" s="214">
        <f t="shared" si="23"/>
        <v>0.2365055747242828</v>
      </c>
      <c r="H182" s="122"/>
    </row>
    <row r="183" spans="1:8" ht="15">
      <c r="A183" s="129"/>
      <c r="B183" s="130">
        <f>DATE(2020,4,1)</f>
        <v>43922</v>
      </c>
      <c r="C183" s="203">
        <v>0</v>
      </c>
      <c r="D183" s="203">
        <v>0</v>
      </c>
      <c r="E183" s="203">
        <v>3566339.1</v>
      </c>
      <c r="F183" s="131">
        <f t="shared" si="22"/>
        <v>-1</v>
      </c>
      <c r="G183" s="214">
        <v>0</v>
      </c>
      <c r="H183" s="122"/>
    </row>
    <row r="184" spans="1:8" ht="15">
      <c r="A184" s="129"/>
      <c r="B184" s="130">
        <f>DATE(2020,5,1)</f>
        <v>43952</v>
      </c>
      <c r="C184" s="203">
        <v>0</v>
      </c>
      <c r="D184" s="203">
        <v>0</v>
      </c>
      <c r="E184" s="203">
        <v>3761299.71</v>
      </c>
      <c r="F184" s="131">
        <f t="shared" si="22"/>
        <v>-1</v>
      </c>
      <c r="G184" s="214">
        <v>0</v>
      </c>
      <c r="H184" s="122"/>
    </row>
    <row r="185" spans="1:8" ht="15">
      <c r="A185" s="129"/>
      <c r="B185" s="130">
        <v>44002</v>
      </c>
      <c r="C185" s="203">
        <v>17560168</v>
      </c>
      <c r="D185" s="203">
        <v>3614825.49</v>
      </c>
      <c r="E185" s="203">
        <v>4467735.02</v>
      </c>
      <c r="F185" s="131">
        <f t="shared" si="22"/>
        <v>-0.19090423361768652</v>
      </c>
      <c r="G185" s="214"/>
      <c r="H185" s="122"/>
    </row>
    <row r="186" spans="1:8" ht="15" thickBot="1">
      <c r="A186" s="132"/>
      <c r="B186" s="133"/>
      <c r="C186" s="203"/>
      <c r="D186" s="203"/>
      <c r="E186" s="203"/>
      <c r="F186" s="131"/>
      <c r="G186" s="214"/>
      <c r="H186" s="122"/>
    </row>
    <row r="187" spans="1:8" ht="16.5" thickBot="1" thickTop="1">
      <c r="A187" s="140" t="s">
        <v>14</v>
      </c>
      <c r="B187" s="141"/>
      <c r="C187" s="205">
        <f>SUM(C174:C186)</f>
        <v>169610126</v>
      </c>
      <c r="D187" s="206">
        <f>SUM(D174:D186)</f>
        <v>35761267.51</v>
      </c>
      <c r="E187" s="205">
        <f>SUM(E174:E186)</f>
        <v>44219541.18000001</v>
      </c>
      <c r="F187" s="142">
        <f>(+D187-E187)/E187</f>
        <v>-0.19127909164796106</v>
      </c>
      <c r="G187" s="216">
        <f>D187/C187</f>
        <v>0.21084394165239873</v>
      </c>
      <c r="H187" s="122"/>
    </row>
    <row r="188" spans="1:8" ht="15.75" customHeight="1" thickTop="1">
      <c r="A188" s="129"/>
      <c r="B188" s="133"/>
      <c r="C188" s="203"/>
      <c r="D188" s="203"/>
      <c r="E188" s="203"/>
      <c r="F188" s="131"/>
      <c r="G188" s="217"/>
      <c r="H188" s="122"/>
    </row>
    <row r="189" spans="1:8" ht="15">
      <c r="A189" s="129" t="s">
        <v>64</v>
      </c>
      <c r="B189" s="130">
        <f>DATE(2019,7,1)</f>
        <v>43647</v>
      </c>
      <c r="C189" s="203">
        <v>622244</v>
      </c>
      <c r="D189" s="203">
        <v>102948</v>
      </c>
      <c r="E189" s="203">
        <v>171143.5</v>
      </c>
      <c r="F189" s="131">
        <f aca="true" t="shared" si="24" ref="F189:F200">(+D189-E189)/E189</f>
        <v>-0.3984697052473509</v>
      </c>
      <c r="G189" s="214">
        <f aca="true" t="shared" si="25" ref="G189:G197">D189/C189</f>
        <v>0.16544635223481463</v>
      </c>
      <c r="H189" s="122"/>
    </row>
    <row r="190" spans="1:8" ht="15">
      <c r="A190" s="129"/>
      <c r="B190" s="130">
        <f>DATE(2019,8,1)</f>
        <v>43678</v>
      </c>
      <c r="C190" s="203">
        <v>680355</v>
      </c>
      <c r="D190" s="203">
        <v>208443.5</v>
      </c>
      <c r="E190" s="203">
        <v>217353.5</v>
      </c>
      <c r="F190" s="131">
        <f t="shared" si="24"/>
        <v>-0.040993128705081816</v>
      </c>
      <c r="G190" s="214">
        <f t="shared" si="25"/>
        <v>0.30637461325337506</v>
      </c>
      <c r="H190" s="122"/>
    </row>
    <row r="191" spans="1:8" ht="15">
      <c r="A191" s="129"/>
      <c r="B191" s="130">
        <f>DATE(2019,9,1)</f>
        <v>43709</v>
      </c>
      <c r="C191" s="203">
        <v>591136</v>
      </c>
      <c r="D191" s="203">
        <v>206651.5</v>
      </c>
      <c r="E191" s="203">
        <v>169120</v>
      </c>
      <c r="F191" s="131">
        <f t="shared" si="24"/>
        <v>0.2219223036896878</v>
      </c>
      <c r="G191" s="214">
        <f t="shared" si="25"/>
        <v>0.3495836829426731</v>
      </c>
      <c r="H191" s="122"/>
    </row>
    <row r="192" spans="1:8" ht="15">
      <c r="A192" s="129"/>
      <c r="B192" s="130">
        <f>DATE(2019,10,1)</f>
        <v>43739</v>
      </c>
      <c r="C192" s="203">
        <v>514035</v>
      </c>
      <c r="D192" s="203">
        <v>159975</v>
      </c>
      <c r="E192" s="203">
        <v>142213.5</v>
      </c>
      <c r="F192" s="131">
        <f t="shared" si="24"/>
        <v>0.12489320634117014</v>
      </c>
      <c r="G192" s="214">
        <f t="shared" si="25"/>
        <v>0.31121421693075374</v>
      </c>
      <c r="H192" s="122"/>
    </row>
    <row r="193" spans="1:8" ht="15">
      <c r="A193" s="129"/>
      <c r="B193" s="130">
        <f>DATE(2019,11,1)</f>
        <v>43770</v>
      </c>
      <c r="C193" s="203">
        <v>627782</v>
      </c>
      <c r="D193" s="203">
        <v>185433.5</v>
      </c>
      <c r="E193" s="203">
        <v>170858.5</v>
      </c>
      <c r="F193" s="131">
        <f t="shared" si="24"/>
        <v>0.0853045063605264</v>
      </c>
      <c r="G193" s="214">
        <f t="shared" si="25"/>
        <v>0.29537880984163295</v>
      </c>
      <c r="H193" s="122"/>
    </row>
    <row r="194" spans="1:8" ht="15">
      <c r="A194" s="129"/>
      <c r="B194" s="130">
        <f>DATE(2019,12,1)</f>
        <v>43800</v>
      </c>
      <c r="C194" s="203">
        <v>733505</v>
      </c>
      <c r="D194" s="203">
        <v>198005</v>
      </c>
      <c r="E194" s="203">
        <v>191894</v>
      </c>
      <c r="F194" s="131">
        <f t="shared" si="24"/>
        <v>0.03184570648378793</v>
      </c>
      <c r="G194" s="214">
        <f t="shared" si="25"/>
        <v>0.2699436268328096</v>
      </c>
      <c r="H194" s="122"/>
    </row>
    <row r="195" spans="1:8" ht="15">
      <c r="A195" s="129"/>
      <c r="B195" s="130">
        <f>DATE(2020,1,1)</f>
        <v>43831</v>
      </c>
      <c r="C195" s="203">
        <v>714996</v>
      </c>
      <c r="D195" s="203">
        <v>233910.5</v>
      </c>
      <c r="E195" s="203">
        <v>225159.5</v>
      </c>
      <c r="F195" s="131">
        <f t="shared" si="24"/>
        <v>0.038865781812448506</v>
      </c>
      <c r="G195" s="214">
        <f t="shared" si="25"/>
        <v>0.327149382653889</v>
      </c>
      <c r="H195" s="122"/>
    </row>
    <row r="196" spans="1:8" ht="15">
      <c r="A196" s="129"/>
      <c r="B196" s="130">
        <f>DATE(2020,2,1)</f>
        <v>43862</v>
      </c>
      <c r="C196" s="203">
        <v>709120</v>
      </c>
      <c r="D196" s="203">
        <v>194088.5</v>
      </c>
      <c r="E196" s="203">
        <v>203977</v>
      </c>
      <c r="F196" s="131">
        <f t="shared" si="24"/>
        <v>-0.04847850492947734</v>
      </c>
      <c r="G196" s="214">
        <f t="shared" si="25"/>
        <v>0.2737033224277978</v>
      </c>
      <c r="H196" s="122"/>
    </row>
    <row r="197" spans="1:8" ht="15">
      <c r="A197" s="129"/>
      <c r="B197" s="130">
        <f>DATE(2020,3,1)</f>
        <v>43891</v>
      </c>
      <c r="C197" s="203">
        <v>443457</v>
      </c>
      <c r="D197" s="203">
        <v>137240.5</v>
      </c>
      <c r="E197" s="203">
        <v>120427</v>
      </c>
      <c r="F197" s="131">
        <f t="shared" si="24"/>
        <v>0.13961570079799382</v>
      </c>
      <c r="G197" s="214">
        <f t="shared" si="25"/>
        <v>0.30947870932243715</v>
      </c>
      <c r="H197" s="122"/>
    </row>
    <row r="198" spans="1:8" ht="15">
      <c r="A198" s="129"/>
      <c r="B198" s="130">
        <f>DATE(2020,4,1)</f>
        <v>43922</v>
      </c>
      <c r="C198" s="203">
        <v>0</v>
      </c>
      <c r="D198" s="203">
        <v>0</v>
      </c>
      <c r="E198" s="203">
        <v>73859.5</v>
      </c>
      <c r="F198" s="131">
        <f t="shared" si="24"/>
        <v>-1</v>
      </c>
      <c r="G198" s="214">
        <v>0</v>
      </c>
      <c r="H198" s="122"/>
    </row>
    <row r="199" spans="1:8" ht="15">
      <c r="A199" s="129"/>
      <c r="B199" s="130">
        <f>DATE(2020,5,1)</f>
        <v>43952</v>
      </c>
      <c r="C199" s="203">
        <v>0</v>
      </c>
      <c r="D199" s="203">
        <v>0</v>
      </c>
      <c r="E199" s="203">
        <v>155292.5</v>
      </c>
      <c r="F199" s="131">
        <f t="shared" si="24"/>
        <v>-1</v>
      </c>
      <c r="G199" s="214">
        <v>0</v>
      </c>
      <c r="H199" s="122"/>
    </row>
    <row r="200" spans="1:8" ht="15">
      <c r="A200" s="129"/>
      <c r="B200" s="130">
        <v>44002</v>
      </c>
      <c r="C200" s="203">
        <v>272094</v>
      </c>
      <c r="D200" s="203">
        <v>79372.5</v>
      </c>
      <c r="E200" s="203">
        <v>135823</v>
      </c>
      <c r="F200" s="131">
        <f t="shared" si="24"/>
        <v>-0.4156181206423065</v>
      </c>
      <c r="G200" s="214">
        <f>D200/C200</f>
        <v>0.29170985027233237</v>
      </c>
      <c r="H200" s="122"/>
    </row>
    <row r="201" spans="1:8" ht="15" thickBot="1">
      <c r="A201" s="132"/>
      <c r="B201" s="133"/>
      <c r="C201" s="203"/>
      <c r="D201" s="203"/>
      <c r="E201" s="203"/>
      <c r="F201" s="131"/>
      <c r="G201" s="214"/>
      <c r="H201" s="122"/>
    </row>
    <row r="202" spans="1:8" ht="16.5" thickBot="1" thickTop="1">
      <c r="A202" s="134" t="s">
        <v>14</v>
      </c>
      <c r="B202" s="135"/>
      <c r="C202" s="200">
        <f>SUM(C189:C201)</f>
        <v>5908724</v>
      </c>
      <c r="D202" s="206">
        <f>SUM(D189:D201)</f>
        <v>1706068.5</v>
      </c>
      <c r="E202" s="206">
        <f>SUM(E189:E201)</f>
        <v>1977121.5</v>
      </c>
      <c r="F202" s="142">
        <f>(+D202-E202)/E202</f>
        <v>-0.13709476124760162</v>
      </c>
      <c r="G202" s="216">
        <f>D202/C202</f>
        <v>0.2887372129752549</v>
      </c>
      <c r="H202" s="122"/>
    </row>
    <row r="203" spans="1:8" ht="15.75" thickBot="1" thickTop="1">
      <c r="A203" s="145"/>
      <c r="B203" s="138"/>
      <c r="C203" s="204"/>
      <c r="D203" s="204"/>
      <c r="E203" s="204"/>
      <c r="F203" s="139"/>
      <c r="G203" s="215"/>
      <c r="H203" s="122"/>
    </row>
    <row r="204" spans="1:8" ht="16.5" thickBot="1" thickTop="1">
      <c r="A204" s="146" t="s">
        <v>41</v>
      </c>
      <c r="B204" s="120"/>
      <c r="C204" s="200">
        <f>C202+C187+C142+C112+C82+C52+C22+C67+C172+C37+C127+C157+C97</f>
        <v>946072058.5</v>
      </c>
      <c r="D204" s="200">
        <f>D202+D187+D142+D112+D82+D52+D22+D67+D172+D37+D127+D157+D97</f>
        <v>194862035.88</v>
      </c>
      <c r="E204" s="200">
        <f>E202+E187+E142+E112+E82+E52+E22+E67+E172+E37+E127+E157+E97</f>
        <v>261277383.39</v>
      </c>
      <c r="F204" s="136">
        <f>(+D204-E204)/E204</f>
        <v>-0.2541947819910001</v>
      </c>
      <c r="G204" s="211">
        <f>D204/C204</f>
        <v>0.2059695497074021</v>
      </c>
      <c r="H204" s="122"/>
    </row>
    <row r="205" spans="1:8" ht="16.5" thickBot="1" thickTop="1">
      <c r="A205" s="146"/>
      <c r="B205" s="120"/>
      <c r="C205" s="200"/>
      <c r="D205" s="200"/>
      <c r="E205" s="200"/>
      <c r="F205" s="136"/>
      <c r="G205" s="211"/>
      <c r="H205" s="122"/>
    </row>
    <row r="206" spans="1:8" ht="16.5" thickBot="1" thickTop="1">
      <c r="A206" s="264" t="s">
        <v>42</v>
      </c>
      <c r="B206" s="265"/>
      <c r="C206" s="205">
        <f>SUM(C20+C35+C50+C65+C80+C95+C110+C125+C140+C155+C170+C185+C200)</f>
        <v>61517804</v>
      </c>
      <c r="D206" s="205">
        <f>SUM(D20+D35+D50+D65+D80+D95+D110+D125+D140+D155+D170+D185+D200)</f>
        <v>12535856.49</v>
      </c>
      <c r="E206" s="205">
        <f>SUM(E20+E35+E50+E65+E80+E95+E110+E125+E140+E155+E170+E185+E200)</f>
        <v>20810508.42</v>
      </c>
      <c r="F206" s="142">
        <f>(+D206-E206)/E206</f>
        <v>-0.3976189222771522</v>
      </c>
      <c r="G206" s="211">
        <f>D206/C206</f>
        <v>0.20377607253340838</v>
      </c>
      <c r="H206" s="122"/>
    </row>
    <row r="207" spans="1:8" ht="15.75" thickTop="1">
      <c r="A207" s="255"/>
      <c r="B207" s="257"/>
      <c r="C207" s="258"/>
      <c r="D207" s="258"/>
      <c r="E207" s="258"/>
      <c r="F207" s="259"/>
      <c r="G207" s="256"/>
      <c r="H207" s="256"/>
    </row>
    <row r="208" spans="1:7" ht="17.25">
      <c r="A208" s="262" t="s">
        <v>43</v>
      </c>
      <c r="B208" s="116"/>
      <c r="C208" s="207"/>
      <c r="D208" s="207"/>
      <c r="E208" s="207"/>
      <c r="F208" s="147"/>
      <c r="G208" s="219"/>
    </row>
    <row r="209" ht="15">
      <c r="A209" s="71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6" r:id="rId1"/>
  <rowBreaks count="4" manualBreakCount="4">
    <brk id="52" max="7" man="1"/>
    <brk id="97" max="7" man="1"/>
    <brk id="142" max="7" man="1"/>
    <brk id="1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1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1" customWidth="1"/>
    <col min="2" max="2" width="9.6640625" style="151" customWidth="1"/>
    <col min="3" max="3" width="18.3359375" style="232" customWidth="1"/>
    <col min="4" max="4" width="16.4453125" style="232" customWidth="1"/>
    <col min="5" max="5" width="15.5546875" style="232" customWidth="1"/>
    <col min="6" max="6" width="9.6640625" style="151" customWidth="1"/>
    <col min="7" max="7" width="9.6640625" style="251" customWidth="1"/>
    <col min="8" max="8" width="10.88671875" style="251" customWidth="1"/>
    <col min="9" max="9" width="1.66796875" style="151" customWidth="1"/>
    <col min="10" max="16384" width="9.6640625" style="151" customWidth="1"/>
  </cols>
  <sheetData>
    <row r="1" spans="1:9" ht="17.25">
      <c r="A1" s="148" t="s">
        <v>0</v>
      </c>
      <c r="B1" s="149"/>
      <c r="C1" s="221"/>
      <c r="D1" s="221"/>
      <c r="E1" s="221"/>
      <c r="F1" s="149"/>
      <c r="G1" s="233"/>
      <c r="H1" s="233"/>
      <c r="I1" s="150"/>
    </row>
    <row r="2" spans="1:9" ht="17.25">
      <c r="A2" s="152" t="s">
        <v>44</v>
      </c>
      <c r="B2" s="149"/>
      <c r="C2" s="221"/>
      <c r="D2" s="221"/>
      <c r="E2" s="221"/>
      <c r="F2" s="149"/>
      <c r="G2" s="233"/>
      <c r="H2" s="233"/>
      <c r="I2" s="150"/>
    </row>
    <row r="3" spans="1:9" ht="17.25">
      <c r="A3" s="148" t="s">
        <v>45</v>
      </c>
      <c r="B3" s="149"/>
      <c r="C3" s="221"/>
      <c r="D3" s="221"/>
      <c r="E3" s="221"/>
      <c r="F3" s="149"/>
      <c r="G3" s="233"/>
      <c r="H3" s="233"/>
      <c r="I3" s="150"/>
    </row>
    <row r="4" spans="1:9" ht="17.25">
      <c r="A4" s="148" t="s">
        <v>75</v>
      </c>
      <c r="B4" s="149"/>
      <c r="C4" s="221"/>
      <c r="D4" s="221"/>
      <c r="E4" s="221"/>
      <c r="F4" s="149"/>
      <c r="G4" s="233"/>
      <c r="H4" s="233"/>
      <c r="I4" s="150"/>
    </row>
    <row r="5" spans="1:9" ht="15">
      <c r="A5" s="281" t="s">
        <v>71</v>
      </c>
      <c r="B5" s="149"/>
      <c r="C5" s="221"/>
      <c r="D5" s="221"/>
      <c r="E5" s="221"/>
      <c r="F5" s="149"/>
      <c r="G5" s="233"/>
      <c r="H5" s="233"/>
      <c r="I5" s="150"/>
    </row>
    <row r="6" spans="1:9" ht="15.75" thickBot="1">
      <c r="A6" s="149"/>
      <c r="B6" s="149"/>
      <c r="C6" s="221"/>
      <c r="D6" s="221"/>
      <c r="E6" s="221"/>
      <c r="F6" s="149"/>
      <c r="G6" s="234" t="s">
        <v>46</v>
      </c>
      <c r="H6" s="234"/>
      <c r="I6" s="150"/>
    </row>
    <row r="7" spans="1:9" ht="15.75" thickTop="1">
      <c r="A7" s="153"/>
      <c r="B7" s="154" t="s">
        <v>2</v>
      </c>
      <c r="C7" s="222" t="s">
        <v>47</v>
      </c>
      <c r="D7" s="222" t="s">
        <v>33</v>
      </c>
      <c r="E7" s="222" t="s">
        <v>3</v>
      </c>
      <c r="F7" s="155"/>
      <c r="G7" s="235" t="s">
        <v>34</v>
      </c>
      <c r="H7" s="252" t="s">
        <v>34</v>
      </c>
      <c r="I7" s="156"/>
    </row>
    <row r="8" spans="1:9" ht="15.75" thickBot="1">
      <c r="A8" s="157" t="s">
        <v>5</v>
      </c>
      <c r="B8" s="158" t="s">
        <v>6</v>
      </c>
      <c r="C8" s="223" t="s">
        <v>48</v>
      </c>
      <c r="D8" s="223" t="s">
        <v>49</v>
      </c>
      <c r="E8" s="223" t="s">
        <v>49</v>
      </c>
      <c r="F8" s="159" t="s">
        <v>8</v>
      </c>
      <c r="G8" s="237" t="s">
        <v>37</v>
      </c>
      <c r="H8" s="253" t="s">
        <v>50</v>
      </c>
      <c r="I8" s="156"/>
    </row>
    <row r="9" spans="1:9" ht="15.75" customHeight="1" thickTop="1">
      <c r="A9" s="160"/>
      <c r="B9" s="161"/>
      <c r="C9" s="224"/>
      <c r="D9" s="224"/>
      <c r="E9" s="224"/>
      <c r="F9" s="162"/>
      <c r="G9" s="238"/>
      <c r="H9" s="239"/>
      <c r="I9" s="156"/>
    </row>
    <row r="10" spans="1:9" ht="15">
      <c r="A10" s="163" t="s">
        <v>38</v>
      </c>
      <c r="B10" s="164">
        <f>DATE(19,7,1)</f>
        <v>7122</v>
      </c>
      <c r="C10" s="225">
        <v>121214833.89</v>
      </c>
      <c r="D10" s="225">
        <v>12400602.17</v>
      </c>
      <c r="E10" s="225">
        <v>11548721.09</v>
      </c>
      <c r="F10" s="165">
        <f aca="true" t="shared" si="0" ref="F10:F21">(+D10-E10)/E10</f>
        <v>0.07376410542442151</v>
      </c>
      <c r="G10" s="240">
        <f aca="true" t="shared" si="1" ref="G10:G18">D10/C10</f>
        <v>0.10230267841024551</v>
      </c>
      <c r="H10" s="241">
        <f aca="true" t="shared" si="2" ref="H10:H18">1-G10</f>
        <v>0.8976973215897545</v>
      </c>
      <c r="I10" s="156"/>
    </row>
    <row r="11" spans="1:9" ht="15">
      <c r="A11" s="163"/>
      <c r="B11" s="164">
        <f>DATE(19,8,1)</f>
        <v>7153</v>
      </c>
      <c r="C11" s="225">
        <v>127273364.16</v>
      </c>
      <c r="D11" s="225">
        <v>12656746.98</v>
      </c>
      <c r="E11" s="225">
        <v>12278666.34</v>
      </c>
      <c r="F11" s="165">
        <f t="shared" si="0"/>
        <v>0.030791669838631727</v>
      </c>
      <c r="G11" s="240">
        <f t="shared" si="1"/>
        <v>0.0994453714925673</v>
      </c>
      <c r="H11" s="241">
        <f t="shared" si="2"/>
        <v>0.9005546285074327</v>
      </c>
      <c r="I11" s="156"/>
    </row>
    <row r="12" spans="1:9" ht="15">
      <c r="A12" s="163"/>
      <c r="B12" s="164">
        <f>DATE(19,9,1)</f>
        <v>7184</v>
      </c>
      <c r="C12" s="225">
        <v>113582337.68</v>
      </c>
      <c r="D12" s="225">
        <v>11070519.38</v>
      </c>
      <c r="E12" s="225">
        <v>11479851.3</v>
      </c>
      <c r="F12" s="165">
        <f t="shared" si="0"/>
        <v>-0.03565655245029175</v>
      </c>
      <c r="G12" s="240">
        <f t="shared" si="1"/>
        <v>0.09746690908219736</v>
      </c>
      <c r="H12" s="241">
        <f t="shared" si="2"/>
        <v>0.9025330909178026</v>
      </c>
      <c r="I12" s="156"/>
    </row>
    <row r="13" spans="1:9" ht="15">
      <c r="A13" s="163"/>
      <c r="B13" s="164">
        <f>DATE(19,10,1)</f>
        <v>7214</v>
      </c>
      <c r="C13" s="225">
        <v>115818968.11</v>
      </c>
      <c r="D13" s="225">
        <v>11529928.41</v>
      </c>
      <c r="E13" s="225">
        <v>11766741.38</v>
      </c>
      <c r="F13" s="165">
        <f t="shared" si="0"/>
        <v>-0.0201256203695029</v>
      </c>
      <c r="G13" s="240">
        <f t="shared" si="1"/>
        <v>0.09955129628723128</v>
      </c>
      <c r="H13" s="241">
        <f t="shared" si="2"/>
        <v>0.9004487037127687</v>
      </c>
      <c r="I13" s="156"/>
    </row>
    <row r="14" spans="1:9" ht="15">
      <c r="A14" s="163"/>
      <c r="B14" s="164">
        <f>DATE(19,11,1)</f>
        <v>7245</v>
      </c>
      <c r="C14" s="225">
        <v>121833977.98</v>
      </c>
      <c r="D14" s="225">
        <v>12272643.01</v>
      </c>
      <c r="E14" s="225">
        <v>11316404.94</v>
      </c>
      <c r="F14" s="165">
        <f t="shared" si="0"/>
        <v>0.08450016370658439</v>
      </c>
      <c r="G14" s="240">
        <f t="shared" si="1"/>
        <v>0.10073251496404927</v>
      </c>
      <c r="H14" s="241">
        <f t="shared" si="2"/>
        <v>0.8992674850359508</v>
      </c>
      <c r="I14" s="156"/>
    </row>
    <row r="15" spans="1:9" ht="15">
      <c r="A15" s="163"/>
      <c r="B15" s="164">
        <f>DATE(19,12,1)</f>
        <v>7275</v>
      </c>
      <c r="C15" s="225">
        <v>127073341.54</v>
      </c>
      <c r="D15" s="225">
        <v>12792439.39</v>
      </c>
      <c r="E15" s="225">
        <v>12753886.49</v>
      </c>
      <c r="F15" s="165">
        <f t="shared" si="0"/>
        <v>0.0030228354337502317</v>
      </c>
      <c r="G15" s="240">
        <f t="shared" si="1"/>
        <v>0.10066973320264196</v>
      </c>
      <c r="H15" s="241">
        <f t="shared" si="2"/>
        <v>0.8993302667973581</v>
      </c>
      <c r="I15" s="156"/>
    </row>
    <row r="16" spans="1:9" ht="15">
      <c r="A16" s="163"/>
      <c r="B16" s="164">
        <f>DATE(20,1,1)</f>
        <v>7306</v>
      </c>
      <c r="C16" s="225">
        <v>112289386.34</v>
      </c>
      <c r="D16" s="225">
        <v>10714900.53</v>
      </c>
      <c r="E16" s="225">
        <v>10438169.56</v>
      </c>
      <c r="F16" s="165">
        <f t="shared" si="0"/>
        <v>0.026511446131365468</v>
      </c>
      <c r="G16" s="240">
        <f t="shared" si="1"/>
        <v>0.09542220221559009</v>
      </c>
      <c r="H16" s="241">
        <f t="shared" si="2"/>
        <v>0.9045777977844099</v>
      </c>
      <c r="I16" s="156"/>
    </row>
    <row r="17" spans="1:9" ht="15">
      <c r="A17" s="163"/>
      <c r="B17" s="164">
        <f>DATE(20,2,1)</f>
        <v>7337</v>
      </c>
      <c r="C17" s="225">
        <v>120790140.87</v>
      </c>
      <c r="D17" s="225">
        <v>11908211.5</v>
      </c>
      <c r="E17" s="225">
        <v>10577892.76</v>
      </c>
      <c r="F17" s="165">
        <f t="shared" si="0"/>
        <v>0.12576406002437107</v>
      </c>
      <c r="G17" s="240">
        <f t="shared" si="1"/>
        <v>0.09858595589201419</v>
      </c>
      <c r="H17" s="241">
        <f t="shared" si="2"/>
        <v>0.9014140441079859</v>
      </c>
      <c r="I17" s="156"/>
    </row>
    <row r="18" spans="1:9" ht="15">
      <c r="A18" s="163"/>
      <c r="B18" s="164">
        <f>DATE(20,3,1)</f>
        <v>7366</v>
      </c>
      <c r="C18" s="225">
        <v>61246450.45</v>
      </c>
      <c r="D18" s="225">
        <v>5911698.16</v>
      </c>
      <c r="E18" s="225">
        <v>13564921.23</v>
      </c>
      <c r="F18" s="165">
        <f t="shared" si="0"/>
        <v>-0.5641922234737518</v>
      </c>
      <c r="G18" s="240">
        <f t="shared" si="1"/>
        <v>0.0965231146713744</v>
      </c>
      <c r="H18" s="241">
        <f t="shared" si="2"/>
        <v>0.9034768853286256</v>
      </c>
      <c r="I18" s="156"/>
    </row>
    <row r="19" spans="1:9" ht="15">
      <c r="A19" s="163"/>
      <c r="B19" s="164">
        <f>DATE(20,4,1)</f>
        <v>7397</v>
      </c>
      <c r="C19" s="225">
        <v>0</v>
      </c>
      <c r="D19" s="225">
        <v>0</v>
      </c>
      <c r="E19" s="225">
        <v>11449311.67</v>
      </c>
      <c r="F19" s="165">
        <f t="shared" si="0"/>
        <v>-1</v>
      </c>
      <c r="G19" s="240">
        <v>0</v>
      </c>
      <c r="H19" s="241">
        <v>0</v>
      </c>
      <c r="I19" s="156"/>
    </row>
    <row r="20" spans="1:9" ht="15">
      <c r="A20" s="163"/>
      <c r="B20" s="164">
        <f>DATE(20,5,1)</f>
        <v>7427</v>
      </c>
      <c r="C20" s="225">
        <v>0</v>
      </c>
      <c r="D20" s="225">
        <v>0</v>
      </c>
      <c r="E20" s="225">
        <v>12624622.52</v>
      </c>
      <c r="F20" s="165">
        <f t="shared" si="0"/>
        <v>-1</v>
      </c>
      <c r="G20" s="240">
        <v>0</v>
      </c>
      <c r="H20" s="241">
        <v>0</v>
      </c>
      <c r="I20" s="156"/>
    </row>
    <row r="21" spans="1:9" ht="15">
      <c r="A21" s="163"/>
      <c r="B21" s="164">
        <v>44002</v>
      </c>
      <c r="C21" s="225">
        <v>100242221.25</v>
      </c>
      <c r="D21" s="225">
        <v>9605736.43</v>
      </c>
      <c r="E21" s="225">
        <v>11793902.32</v>
      </c>
      <c r="F21" s="165">
        <f t="shared" si="0"/>
        <v>-0.1855336622798145</v>
      </c>
      <c r="G21" s="240">
        <f>D21/C21</f>
        <v>0.09582525516911368</v>
      </c>
      <c r="H21" s="241">
        <f>1-G21</f>
        <v>0.9041747448308863</v>
      </c>
      <c r="I21" s="156"/>
    </row>
    <row r="22" spans="1:9" ht="15" thickBot="1">
      <c r="A22" s="166"/>
      <c r="B22" s="167"/>
      <c r="C22" s="225"/>
      <c r="D22" s="225"/>
      <c r="E22" s="225"/>
      <c r="F22" s="165"/>
      <c r="G22" s="240"/>
      <c r="H22" s="241"/>
      <c r="I22" s="156"/>
    </row>
    <row r="23" spans="1:9" ht="16.5" thickBot="1" thickTop="1">
      <c r="A23" s="168" t="s">
        <v>14</v>
      </c>
      <c r="B23" s="154"/>
      <c r="C23" s="222">
        <f>SUM(C10:C22)</f>
        <v>1121365022.27</v>
      </c>
      <c r="D23" s="222">
        <f>SUM(D10:D22)</f>
        <v>110863425.96000001</v>
      </c>
      <c r="E23" s="222">
        <f>SUM(E10:E22)</f>
        <v>141593091.60000002</v>
      </c>
      <c r="F23" s="169">
        <f>(+D23-E23)/E23</f>
        <v>-0.21702800110340983</v>
      </c>
      <c r="G23" s="235">
        <f>D23/C23</f>
        <v>0.09886470842079337</v>
      </c>
      <c r="H23" s="236">
        <f>1-G23</f>
        <v>0.9011352915792066</v>
      </c>
      <c r="I23" s="156"/>
    </row>
    <row r="24" spans="1:9" ht="15" thickTop="1">
      <c r="A24" s="170"/>
      <c r="B24" s="171"/>
      <c r="C24" s="226"/>
      <c r="D24" s="226"/>
      <c r="E24" s="226"/>
      <c r="F24" s="172"/>
      <c r="G24" s="242"/>
      <c r="H24" s="243"/>
      <c r="I24" s="156"/>
    </row>
    <row r="25" spans="1:9" ht="15">
      <c r="A25" s="19" t="s">
        <v>51</v>
      </c>
      <c r="B25" s="164">
        <f>DATE(19,7,1)</f>
        <v>7122</v>
      </c>
      <c r="C25" s="225">
        <v>61310653.93</v>
      </c>
      <c r="D25" s="225">
        <v>6237251.83</v>
      </c>
      <c r="E25" s="225">
        <v>6830347.76</v>
      </c>
      <c r="F25" s="165">
        <f aca="true" t="shared" si="3" ref="F25:F36">(+D25-E25)/E25</f>
        <v>-0.08683246458888935</v>
      </c>
      <c r="G25" s="240">
        <f aca="true" t="shared" si="4" ref="G25:G33">D25/C25</f>
        <v>0.10173194102808357</v>
      </c>
      <c r="H25" s="241">
        <f aca="true" t="shared" si="5" ref="H25:H33">1-G25</f>
        <v>0.8982680589719164</v>
      </c>
      <c r="I25" s="156"/>
    </row>
    <row r="26" spans="1:9" ht="15">
      <c r="A26" s="19"/>
      <c r="B26" s="164">
        <f>DATE(19,8,1)</f>
        <v>7153</v>
      </c>
      <c r="C26" s="225">
        <v>61567378.38</v>
      </c>
      <c r="D26" s="225">
        <v>6248302.35</v>
      </c>
      <c r="E26" s="225">
        <v>6442436.26</v>
      </c>
      <c r="F26" s="165">
        <f t="shared" si="3"/>
        <v>-0.030133617495813635</v>
      </c>
      <c r="G26" s="240">
        <f t="shared" si="4"/>
        <v>0.10148722447518967</v>
      </c>
      <c r="H26" s="241">
        <f t="shared" si="5"/>
        <v>0.8985127755248103</v>
      </c>
      <c r="I26" s="156"/>
    </row>
    <row r="27" spans="1:9" ht="15">
      <c r="A27" s="19"/>
      <c r="B27" s="164">
        <f>DATE(19,9,1)</f>
        <v>7184</v>
      </c>
      <c r="C27" s="225">
        <v>56369402.54</v>
      </c>
      <c r="D27" s="225">
        <v>5841517.6</v>
      </c>
      <c r="E27" s="225">
        <v>6263081.72</v>
      </c>
      <c r="F27" s="165">
        <f t="shared" si="3"/>
        <v>-0.06730937561517242</v>
      </c>
      <c r="G27" s="240">
        <f t="shared" si="4"/>
        <v>0.10362922679293665</v>
      </c>
      <c r="H27" s="241">
        <f t="shared" si="5"/>
        <v>0.8963707732070634</v>
      </c>
      <c r="I27" s="156"/>
    </row>
    <row r="28" spans="1:9" ht="15">
      <c r="A28" s="19"/>
      <c r="B28" s="164">
        <f>DATE(19,10,1)</f>
        <v>7214</v>
      </c>
      <c r="C28" s="225">
        <v>54504425.12</v>
      </c>
      <c r="D28" s="225">
        <v>5457854.24</v>
      </c>
      <c r="E28" s="225">
        <v>5583864.37</v>
      </c>
      <c r="F28" s="165">
        <f t="shared" si="3"/>
        <v>-0.022566832152479357</v>
      </c>
      <c r="G28" s="240">
        <f t="shared" si="4"/>
        <v>0.10013598396797475</v>
      </c>
      <c r="H28" s="241">
        <f t="shared" si="5"/>
        <v>0.8998640160320253</v>
      </c>
      <c r="I28" s="156"/>
    </row>
    <row r="29" spans="1:9" ht="15">
      <c r="A29" s="19"/>
      <c r="B29" s="164">
        <f>DATE(19,11,1)</f>
        <v>7245</v>
      </c>
      <c r="C29" s="225">
        <v>56168674.75</v>
      </c>
      <c r="D29" s="225">
        <v>5836194.67</v>
      </c>
      <c r="E29" s="225">
        <v>5280741.69</v>
      </c>
      <c r="F29" s="165">
        <f t="shared" si="3"/>
        <v>0.10518465257481653</v>
      </c>
      <c r="G29" s="240">
        <f t="shared" si="4"/>
        <v>0.1039047956174184</v>
      </c>
      <c r="H29" s="241">
        <f t="shared" si="5"/>
        <v>0.8960952043825816</v>
      </c>
      <c r="I29" s="156"/>
    </row>
    <row r="30" spans="1:9" ht="15">
      <c r="A30" s="19"/>
      <c r="B30" s="164">
        <f>DATE(19,12,1)</f>
        <v>7275</v>
      </c>
      <c r="C30" s="225">
        <v>56403736.68</v>
      </c>
      <c r="D30" s="225">
        <v>5543658.99</v>
      </c>
      <c r="E30" s="225">
        <v>6010123.42</v>
      </c>
      <c r="F30" s="165">
        <f t="shared" si="3"/>
        <v>-0.07761311996484753</v>
      </c>
      <c r="G30" s="240">
        <f t="shared" si="4"/>
        <v>0.09828531434807769</v>
      </c>
      <c r="H30" s="241">
        <f t="shared" si="5"/>
        <v>0.9017146856519223</v>
      </c>
      <c r="I30" s="156"/>
    </row>
    <row r="31" spans="1:9" ht="15">
      <c r="A31" s="19"/>
      <c r="B31" s="164">
        <f>DATE(20,1,1)</f>
        <v>7306</v>
      </c>
      <c r="C31" s="225">
        <v>50236716.44</v>
      </c>
      <c r="D31" s="225">
        <v>5017454.9</v>
      </c>
      <c r="E31" s="225">
        <v>4663941.57</v>
      </c>
      <c r="F31" s="165">
        <f t="shared" si="3"/>
        <v>0.07579711810154603</v>
      </c>
      <c r="G31" s="240">
        <f t="shared" si="4"/>
        <v>0.09987625098850908</v>
      </c>
      <c r="H31" s="241">
        <f t="shared" si="5"/>
        <v>0.900123749011491</v>
      </c>
      <c r="I31" s="156"/>
    </row>
    <row r="32" spans="1:9" ht="15">
      <c r="A32" s="19"/>
      <c r="B32" s="164">
        <f>DATE(20,2,1)</f>
        <v>7337</v>
      </c>
      <c r="C32" s="225">
        <v>59758040.1</v>
      </c>
      <c r="D32" s="225">
        <v>6113250.32</v>
      </c>
      <c r="E32" s="225">
        <v>5430626.47</v>
      </c>
      <c r="F32" s="165">
        <f t="shared" si="3"/>
        <v>0.12569891407022155</v>
      </c>
      <c r="G32" s="240">
        <f t="shared" si="4"/>
        <v>0.10230004715298553</v>
      </c>
      <c r="H32" s="241">
        <f t="shared" si="5"/>
        <v>0.8976999528470144</v>
      </c>
      <c r="I32" s="156"/>
    </row>
    <row r="33" spans="1:9" ht="15">
      <c r="A33" s="19"/>
      <c r="B33" s="164">
        <f>DATE(20,3,1)</f>
        <v>7366</v>
      </c>
      <c r="C33" s="225">
        <v>31125584.69</v>
      </c>
      <c r="D33" s="225">
        <v>3135575.4</v>
      </c>
      <c r="E33" s="225">
        <v>7409577.38</v>
      </c>
      <c r="F33" s="165">
        <f t="shared" si="3"/>
        <v>-0.5768212896374395</v>
      </c>
      <c r="G33" s="240">
        <f t="shared" si="4"/>
        <v>0.10073948589975869</v>
      </c>
      <c r="H33" s="241">
        <f t="shared" si="5"/>
        <v>0.8992605141002413</v>
      </c>
      <c r="I33" s="156"/>
    </row>
    <row r="34" spans="1:9" ht="15">
      <c r="A34" s="19"/>
      <c r="B34" s="164">
        <f>DATE(20,4,1)</f>
        <v>7397</v>
      </c>
      <c r="C34" s="225">
        <v>0</v>
      </c>
      <c r="D34" s="225">
        <v>0</v>
      </c>
      <c r="E34" s="225">
        <v>5729556.86</v>
      </c>
      <c r="F34" s="165">
        <f t="shared" si="3"/>
        <v>-1</v>
      </c>
      <c r="G34" s="240">
        <v>0</v>
      </c>
      <c r="H34" s="241">
        <v>0</v>
      </c>
      <c r="I34" s="156"/>
    </row>
    <row r="35" spans="1:9" ht="15">
      <c r="A35" s="19"/>
      <c r="B35" s="164">
        <f>DATE(20,5,1)</f>
        <v>7427</v>
      </c>
      <c r="C35" s="225">
        <v>0</v>
      </c>
      <c r="D35" s="225">
        <v>0</v>
      </c>
      <c r="E35" s="225">
        <v>6346368.95</v>
      </c>
      <c r="F35" s="165">
        <f t="shared" si="3"/>
        <v>-1</v>
      </c>
      <c r="G35" s="240">
        <v>0</v>
      </c>
      <c r="H35" s="241">
        <v>0</v>
      </c>
      <c r="I35" s="156"/>
    </row>
    <row r="36" spans="1:9" ht="15">
      <c r="A36" s="19"/>
      <c r="B36" s="164">
        <v>44002</v>
      </c>
      <c r="C36" s="225">
        <v>53596725.36</v>
      </c>
      <c r="D36" s="225">
        <v>5385224.56</v>
      </c>
      <c r="E36" s="225">
        <v>5855340.35</v>
      </c>
      <c r="F36" s="165">
        <f t="shared" si="3"/>
        <v>-0.08028837982065382</v>
      </c>
      <c r="G36" s="240">
        <f>D36/C36</f>
        <v>0.1004767459920055</v>
      </c>
      <c r="H36" s="241">
        <f>1-G36</f>
        <v>0.8995232540079945</v>
      </c>
      <c r="I36" s="156"/>
    </row>
    <row r="37" spans="1:9" ht="15" thickBot="1">
      <c r="A37" s="166"/>
      <c r="B37" s="164"/>
      <c r="C37" s="225"/>
      <c r="D37" s="225"/>
      <c r="E37" s="225"/>
      <c r="F37" s="165"/>
      <c r="G37" s="240"/>
      <c r="H37" s="241"/>
      <c r="I37" s="156"/>
    </row>
    <row r="38" spans="1:9" ht="16.5" thickBot="1" thickTop="1">
      <c r="A38" s="168" t="s">
        <v>14</v>
      </c>
      <c r="B38" s="154"/>
      <c r="C38" s="222">
        <f>SUM(C25:C37)</f>
        <v>541041337.99</v>
      </c>
      <c r="D38" s="222">
        <f>SUM(D25:D37)</f>
        <v>54816284.86000001</v>
      </c>
      <c r="E38" s="222">
        <f>SUM(E25:E37)</f>
        <v>71846006.8</v>
      </c>
      <c r="F38" s="169">
        <f>(+D38-E38)/E38</f>
        <v>-0.23703087615441407</v>
      </c>
      <c r="G38" s="235">
        <f>D38/C38</f>
        <v>0.10131625998051404</v>
      </c>
      <c r="H38" s="236">
        <f>1-G38</f>
        <v>0.8986837400194859</v>
      </c>
      <c r="I38" s="156"/>
    </row>
    <row r="39" spans="1:9" ht="15" thickTop="1">
      <c r="A39" s="170"/>
      <c r="B39" s="171"/>
      <c r="C39" s="226"/>
      <c r="D39" s="226"/>
      <c r="E39" s="226"/>
      <c r="F39" s="172"/>
      <c r="G39" s="242"/>
      <c r="H39" s="243"/>
      <c r="I39" s="156"/>
    </row>
    <row r="40" spans="1:9" ht="15">
      <c r="A40" s="19" t="s">
        <v>60</v>
      </c>
      <c r="B40" s="164">
        <f>DATE(19,7,1)</f>
        <v>7122</v>
      </c>
      <c r="C40" s="225">
        <v>27697147.81</v>
      </c>
      <c r="D40" s="225">
        <v>2967073.27</v>
      </c>
      <c r="E40" s="225">
        <v>2891699.85</v>
      </c>
      <c r="F40" s="165">
        <f aca="true" t="shared" si="6" ref="F40:F51">(+D40-E40)/E40</f>
        <v>0.026065436909020804</v>
      </c>
      <c r="G40" s="240">
        <f aca="true" t="shared" si="7" ref="G40:G48">D40/C40</f>
        <v>0.10712558890012293</v>
      </c>
      <c r="H40" s="241">
        <f aca="true" t="shared" si="8" ref="H40:H48">1-G40</f>
        <v>0.8928744110998771</v>
      </c>
      <c r="I40" s="156"/>
    </row>
    <row r="41" spans="1:9" ht="15">
      <c r="A41" s="19"/>
      <c r="B41" s="164">
        <f>DATE(19,8,1)</f>
        <v>7153</v>
      </c>
      <c r="C41" s="225">
        <v>27431300.71</v>
      </c>
      <c r="D41" s="225">
        <v>2916117.84</v>
      </c>
      <c r="E41" s="225">
        <v>2785511.76</v>
      </c>
      <c r="F41" s="165">
        <f t="shared" si="6"/>
        <v>0.04688764264990936</v>
      </c>
      <c r="G41" s="240">
        <f t="shared" si="7"/>
        <v>0.10630621824421682</v>
      </c>
      <c r="H41" s="241">
        <f t="shared" si="8"/>
        <v>0.8936937817557832</v>
      </c>
      <c r="I41" s="156"/>
    </row>
    <row r="42" spans="1:9" ht="15">
      <c r="A42" s="19"/>
      <c r="B42" s="164">
        <f>DATE(19,9,1)</f>
        <v>7184</v>
      </c>
      <c r="C42" s="225">
        <v>27153283.5</v>
      </c>
      <c r="D42" s="225">
        <v>2810959.49</v>
      </c>
      <c r="E42" s="225">
        <v>2777720.64</v>
      </c>
      <c r="F42" s="165">
        <f t="shared" si="6"/>
        <v>0.011966232140608673</v>
      </c>
      <c r="G42" s="240">
        <f t="shared" si="7"/>
        <v>0.10352189966270563</v>
      </c>
      <c r="H42" s="241">
        <f t="shared" si="8"/>
        <v>0.8964781003372944</v>
      </c>
      <c r="I42" s="156"/>
    </row>
    <row r="43" spans="1:9" ht="15">
      <c r="A43" s="19"/>
      <c r="B43" s="164">
        <f>DATE(19,10,1)</f>
        <v>7214</v>
      </c>
      <c r="C43" s="225">
        <v>25839439.73</v>
      </c>
      <c r="D43" s="225">
        <v>2793135.18</v>
      </c>
      <c r="E43" s="225">
        <v>2633608.27</v>
      </c>
      <c r="F43" s="165">
        <f t="shared" si="6"/>
        <v>0.06057351498216557</v>
      </c>
      <c r="G43" s="240">
        <f t="shared" si="7"/>
        <v>0.10809581048141403</v>
      </c>
      <c r="H43" s="241">
        <f t="shared" si="8"/>
        <v>0.891904189518586</v>
      </c>
      <c r="I43" s="156"/>
    </row>
    <row r="44" spans="1:9" ht="15">
      <c r="A44" s="19"/>
      <c r="B44" s="164">
        <f>DATE(19,11,1)</f>
        <v>7245</v>
      </c>
      <c r="C44" s="225">
        <v>26865495.9</v>
      </c>
      <c r="D44" s="225">
        <v>2801393.45</v>
      </c>
      <c r="E44" s="225">
        <v>2551021.51</v>
      </c>
      <c r="F44" s="165">
        <f t="shared" si="6"/>
        <v>0.09814575808888433</v>
      </c>
      <c r="G44" s="240">
        <f t="shared" si="7"/>
        <v>0.10427477164119649</v>
      </c>
      <c r="H44" s="241">
        <f t="shared" si="8"/>
        <v>0.8957252283588035</v>
      </c>
      <c r="I44" s="156"/>
    </row>
    <row r="45" spans="1:9" ht="15">
      <c r="A45" s="19"/>
      <c r="B45" s="164">
        <f>DATE(19,12,1)</f>
        <v>7275</v>
      </c>
      <c r="C45" s="225">
        <v>29175238.5</v>
      </c>
      <c r="D45" s="225">
        <v>3071223.19</v>
      </c>
      <c r="E45" s="225">
        <v>2786245.45</v>
      </c>
      <c r="F45" s="165">
        <f t="shared" si="6"/>
        <v>0.102280199327019</v>
      </c>
      <c r="G45" s="240">
        <f t="shared" si="7"/>
        <v>0.10526814339495459</v>
      </c>
      <c r="H45" s="241">
        <f t="shared" si="8"/>
        <v>0.8947318566050454</v>
      </c>
      <c r="I45" s="156"/>
    </row>
    <row r="46" spans="1:9" ht="15">
      <c r="A46" s="19"/>
      <c r="B46" s="164">
        <f>DATE(20,1,1)</f>
        <v>7306</v>
      </c>
      <c r="C46" s="225">
        <v>27348468.94</v>
      </c>
      <c r="D46" s="225">
        <v>2879669.48</v>
      </c>
      <c r="E46" s="225">
        <v>2442891.35</v>
      </c>
      <c r="F46" s="165">
        <f t="shared" si="6"/>
        <v>0.1787955612516291</v>
      </c>
      <c r="G46" s="240">
        <f t="shared" si="7"/>
        <v>0.10529545497840216</v>
      </c>
      <c r="H46" s="241">
        <f t="shared" si="8"/>
        <v>0.8947045450215978</v>
      </c>
      <c r="I46" s="156"/>
    </row>
    <row r="47" spans="1:9" ht="15">
      <c r="A47" s="19"/>
      <c r="B47" s="164">
        <f>DATE(20,2,1)</f>
        <v>7337</v>
      </c>
      <c r="C47" s="225">
        <v>29410469.31</v>
      </c>
      <c r="D47" s="225">
        <v>3109782.67</v>
      </c>
      <c r="E47" s="225">
        <v>2630594.64</v>
      </c>
      <c r="F47" s="165">
        <f t="shared" si="6"/>
        <v>0.1821595857885576</v>
      </c>
      <c r="G47" s="240">
        <f t="shared" si="7"/>
        <v>0.10573726781512553</v>
      </c>
      <c r="H47" s="241">
        <f t="shared" si="8"/>
        <v>0.8942627321848745</v>
      </c>
      <c r="I47" s="156"/>
    </row>
    <row r="48" spans="1:9" ht="15">
      <c r="A48" s="19"/>
      <c r="B48" s="164">
        <f>DATE(20,3,1)</f>
        <v>7366</v>
      </c>
      <c r="C48" s="225">
        <v>15904789.1</v>
      </c>
      <c r="D48" s="225">
        <v>1626583.08</v>
      </c>
      <c r="E48" s="225">
        <v>3403749.63</v>
      </c>
      <c r="F48" s="165">
        <f t="shared" si="6"/>
        <v>-0.5221202330325335</v>
      </c>
      <c r="G48" s="240">
        <f t="shared" si="7"/>
        <v>0.1022700187832104</v>
      </c>
      <c r="H48" s="241">
        <f t="shared" si="8"/>
        <v>0.8977299812167896</v>
      </c>
      <c r="I48" s="156"/>
    </row>
    <row r="49" spans="1:9" ht="15">
      <c r="A49" s="19"/>
      <c r="B49" s="164">
        <f>DATE(20,4,1)</f>
        <v>7397</v>
      </c>
      <c r="C49" s="225">
        <v>0</v>
      </c>
      <c r="D49" s="225">
        <v>0</v>
      </c>
      <c r="E49" s="225">
        <v>2758287.96</v>
      </c>
      <c r="F49" s="165">
        <f t="shared" si="6"/>
        <v>-1</v>
      </c>
      <c r="G49" s="240">
        <v>0</v>
      </c>
      <c r="H49" s="241">
        <v>0</v>
      </c>
      <c r="I49" s="156"/>
    </row>
    <row r="50" spans="1:9" ht="15">
      <c r="A50" s="19"/>
      <c r="B50" s="164">
        <f>DATE(20,5,1)</f>
        <v>7427</v>
      </c>
      <c r="C50" s="225">
        <v>0</v>
      </c>
      <c r="D50" s="225">
        <v>0</v>
      </c>
      <c r="E50" s="225">
        <v>2904564.69</v>
      </c>
      <c r="F50" s="165">
        <f t="shared" si="6"/>
        <v>-1</v>
      </c>
      <c r="G50" s="240">
        <v>0</v>
      </c>
      <c r="H50" s="241">
        <v>0</v>
      </c>
      <c r="I50" s="156"/>
    </row>
    <row r="51" spans="1:9" ht="15">
      <c r="A51" s="19"/>
      <c r="B51" s="164">
        <v>44002</v>
      </c>
      <c r="C51" s="225">
        <v>27069805.8</v>
      </c>
      <c r="D51" s="225">
        <v>2907397.17</v>
      </c>
      <c r="E51" s="225">
        <v>2787652.08</v>
      </c>
      <c r="F51" s="165">
        <f t="shared" si="6"/>
        <v>0.0429555362590298</v>
      </c>
      <c r="G51" s="240">
        <f>D51/C51</f>
        <v>0.10740369515321753</v>
      </c>
      <c r="H51" s="241">
        <f>1-G51</f>
        <v>0.8925963048467824</v>
      </c>
      <c r="I51" s="156"/>
    </row>
    <row r="52" spans="1:9" ht="15" thickBot="1">
      <c r="A52" s="166"/>
      <c r="B52" s="164"/>
      <c r="C52" s="225"/>
      <c r="D52" s="225"/>
      <c r="E52" s="225"/>
      <c r="F52" s="165"/>
      <c r="G52" s="240"/>
      <c r="H52" s="241"/>
      <c r="I52" s="156"/>
    </row>
    <row r="53" spans="1:9" ht="16.5" thickBot="1" thickTop="1">
      <c r="A53" s="173" t="s">
        <v>14</v>
      </c>
      <c r="B53" s="174"/>
      <c r="C53" s="227">
        <f>SUM(C40:C52)</f>
        <v>263895439.3</v>
      </c>
      <c r="D53" s="227">
        <f>SUM(D40:D52)</f>
        <v>27883334.82</v>
      </c>
      <c r="E53" s="227">
        <f>SUM(E40:E52)</f>
        <v>33353547.830000006</v>
      </c>
      <c r="F53" s="175">
        <f>(+D53-E53)/E53</f>
        <v>-0.1640069307733373</v>
      </c>
      <c r="G53" s="244">
        <f>D53/C53</f>
        <v>0.10566054075796981</v>
      </c>
      <c r="H53" s="245">
        <f>1-G53</f>
        <v>0.8943394592420302</v>
      </c>
      <c r="I53" s="156"/>
    </row>
    <row r="54" spans="1:9" ht="15" thickTop="1">
      <c r="A54" s="166"/>
      <c r="B54" s="167"/>
      <c r="C54" s="225"/>
      <c r="D54" s="225"/>
      <c r="E54" s="225"/>
      <c r="F54" s="165"/>
      <c r="G54" s="240"/>
      <c r="H54" s="241"/>
      <c r="I54" s="156"/>
    </row>
    <row r="55" spans="1:9" ht="15">
      <c r="A55" s="176" t="s">
        <v>65</v>
      </c>
      <c r="B55" s="164">
        <f>DATE(19,7,1)</f>
        <v>7122</v>
      </c>
      <c r="C55" s="225">
        <v>184825387.6</v>
      </c>
      <c r="D55" s="225">
        <v>17279710.35</v>
      </c>
      <c r="E55" s="225">
        <v>17539246.18</v>
      </c>
      <c r="F55" s="165">
        <f aca="true" t="shared" si="9" ref="F55:F66">(+D55-E55)/E55</f>
        <v>-0.014797433557660356</v>
      </c>
      <c r="G55" s="240">
        <f aca="true" t="shared" si="10" ref="G55:G63">D55/C55</f>
        <v>0.09349208230742</v>
      </c>
      <c r="H55" s="241">
        <f aca="true" t="shared" si="11" ref="H55:H63">1-G55</f>
        <v>0.90650791769258</v>
      </c>
      <c r="I55" s="156"/>
    </row>
    <row r="56" spans="1:9" ht="15">
      <c r="A56" s="176"/>
      <c r="B56" s="164">
        <f>DATE(19,8,1)</f>
        <v>7153</v>
      </c>
      <c r="C56" s="225">
        <v>191102191.72</v>
      </c>
      <c r="D56" s="225">
        <v>17467037.46</v>
      </c>
      <c r="E56" s="225">
        <v>17390823.88</v>
      </c>
      <c r="F56" s="165">
        <f t="shared" si="9"/>
        <v>0.004382401922179775</v>
      </c>
      <c r="G56" s="240">
        <f t="shared" si="10"/>
        <v>0.09140155485810668</v>
      </c>
      <c r="H56" s="241">
        <f t="shared" si="11"/>
        <v>0.9085984451418934</v>
      </c>
      <c r="I56" s="156"/>
    </row>
    <row r="57" spans="1:9" ht="15">
      <c r="A57" s="176"/>
      <c r="B57" s="164">
        <f>DATE(19,9,1)</f>
        <v>7184</v>
      </c>
      <c r="C57" s="225">
        <v>174203675.17</v>
      </c>
      <c r="D57" s="225">
        <v>16156127.95</v>
      </c>
      <c r="E57" s="225">
        <v>16350217.75</v>
      </c>
      <c r="F57" s="165">
        <f t="shared" si="9"/>
        <v>-0.011870777684291131</v>
      </c>
      <c r="G57" s="240">
        <f t="shared" si="10"/>
        <v>0.09274275031358399</v>
      </c>
      <c r="H57" s="241">
        <f t="shared" si="11"/>
        <v>0.907257249686416</v>
      </c>
      <c r="I57" s="156"/>
    </row>
    <row r="58" spans="1:9" ht="15">
      <c r="A58" s="176"/>
      <c r="B58" s="164">
        <f>DATE(19,10,1)</f>
        <v>7214</v>
      </c>
      <c r="C58" s="225">
        <v>179895954.49</v>
      </c>
      <c r="D58" s="225">
        <v>15798088.05</v>
      </c>
      <c r="E58" s="225">
        <v>15575678.63</v>
      </c>
      <c r="F58" s="165">
        <f t="shared" si="9"/>
        <v>0.01427927638232222</v>
      </c>
      <c r="G58" s="240">
        <f t="shared" si="10"/>
        <v>0.08781791727772388</v>
      </c>
      <c r="H58" s="241">
        <f t="shared" si="11"/>
        <v>0.9121820827222761</v>
      </c>
      <c r="I58" s="156"/>
    </row>
    <row r="59" spans="1:9" ht="15">
      <c r="A59" s="176"/>
      <c r="B59" s="164">
        <f>DATE(19,11,1)</f>
        <v>7245</v>
      </c>
      <c r="C59" s="225">
        <v>183677518.48</v>
      </c>
      <c r="D59" s="225">
        <v>16997575.63</v>
      </c>
      <c r="E59" s="225">
        <v>14866628.69</v>
      </c>
      <c r="F59" s="165">
        <f t="shared" si="9"/>
        <v>0.1433376042702523</v>
      </c>
      <c r="G59" s="240">
        <f t="shared" si="10"/>
        <v>0.09254031615116146</v>
      </c>
      <c r="H59" s="241">
        <f t="shared" si="11"/>
        <v>0.9074596838488386</v>
      </c>
      <c r="I59" s="156"/>
    </row>
    <row r="60" spans="1:9" ht="15">
      <c r="A60" s="176"/>
      <c r="B60" s="164">
        <f>DATE(19,12,1)</f>
        <v>7275</v>
      </c>
      <c r="C60" s="225">
        <v>181160265.95</v>
      </c>
      <c r="D60" s="225">
        <v>16683119.9</v>
      </c>
      <c r="E60" s="225">
        <v>16436113.14</v>
      </c>
      <c r="F60" s="165">
        <f t="shared" si="9"/>
        <v>0.015028295187313353</v>
      </c>
      <c r="G60" s="240">
        <f t="shared" si="10"/>
        <v>0.09209039196599833</v>
      </c>
      <c r="H60" s="241">
        <f t="shared" si="11"/>
        <v>0.9079096080340017</v>
      </c>
      <c r="I60" s="156"/>
    </row>
    <row r="61" spans="1:9" ht="15">
      <c r="A61" s="176"/>
      <c r="B61" s="164">
        <f>DATE(20,1,1)</f>
        <v>7306</v>
      </c>
      <c r="C61" s="225">
        <v>176836643.67</v>
      </c>
      <c r="D61" s="225">
        <v>16201519.72</v>
      </c>
      <c r="E61" s="225">
        <v>13439931.69</v>
      </c>
      <c r="F61" s="165">
        <f t="shared" si="9"/>
        <v>0.20547634420305608</v>
      </c>
      <c r="G61" s="240">
        <f t="shared" si="10"/>
        <v>0.091618566060517</v>
      </c>
      <c r="H61" s="241">
        <f t="shared" si="11"/>
        <v>0.908381433939483</v>
      </c>
      <c r="I61" s="156"/>
    </row>
    <row r="62" spans="1:9" ht="15">
      <c r="A62" s="176"/>
      <c r="B62" s="164">
        <f>DATE(20,2,1)</f>
        <v>7337</v>
      </c>
      <c r="C62" s="225">
        <v>186209419.07</v>
      </c>
      <c r="D62" s="225">
        <v>17277967.89</v>
      </c>
      <c r="E62" s="225">
        <v>15398690.67</v>
      </c>
      <c r="F62" s="165">
        <f t="shared" si="9"/>
        <v>0.1220413644428381</v>
      </c>
      <c r="G62" s="240">
        <f t="shared" si="10"/>
        <v>0.09278782983316677</v>
      </c>
      <c r="H62" s="241">
        <f t="shared" si="11"/>
        <v>0.9072121701668332</v>
      </c>
      <c r="I62" s="156"/>
    </row>
    <row r="63" spans="1:9" ht="15">
      <c r="A63" s="176"/>
      <c r="B63" s="164">
        <f>DATE(20,3,1)</f>
        <v>7366</v>
      </c>
      <c r="C63" s="225">
        <v>85590862.42</v>
      </c>
      <c r="D63" s="225">
        <v>8020184.34</v>
      </c>
      <c r="E63" s="225">
        <v>18771751.93</v>
      </c>
      <c r="F63" s="165">
        <f t="shared" si="9"/>
        <v>-0.5727524862939098</v>
      </c>
      <c r="G63" s="240">
        <f t="shared" si="10"/>
        <v>0.09370374492366285</v>
      </c>
      <c r="H63" s="241">
        <f t="shared" si="11"/>
        <v>0.9062962550763372</v>
      </c>
      <c r="I63" s="156"/>
    </row>
    <row r="64" spans="1:9" ht="15">
      <c r="A64" s="176"/>
      <c r="B64" s="164">
        <f>DATE(20,4,1)</f>
        <v>7397</v>
      </c>
      <c r="C64" s="225">
        <v>0</v>
      </c>
      <c r="D64" s="225">
        <v>0</v>
      </c>
      <c r="E64" s="225">
        <v>15846165.7</v>
      </c>
      <c r="F64" s="165">
        <f t="shared" si="9"/>
        <v>-1</v>
      </c>
      <c r="G64" s="240">
        <v>0</v>
      </c>
      <c r="H64" s="241">
        <v>0</v>
      </c>
      <c r="I64" s="156"/>
    </row>
    <row r="65" spans="1:9" ht="15">
      <c r="A65" s="176"/>
      <c r="B65" s="164">
        <f>DATE(20,5,1)</f>
        <v>7427</v>
      </c>
      <c r="C65" s="225">
        <v>0</v>
      </c>
      <c r="D65" s="225">
        <v>0</v>
      </c>
      <c r="E65" s="225">
        <v>18252968.04</v>
      </c>
      <c r="F65" s="165">
        <f t="shared" si="9"/>
        <v>-1</v>
      </c>
      <c r="G65" s="240">
        <v>0</v>
      </c>
      <c r="H65" s="241">
        <v>0</v>
      </c>
      <c r="I65" s="156"/>
    </row>
    <row r="66" spans="1:9" ht="15">
      <c r="A66" s="176"/>
      <c r="B66" s="164">
        <v>44002</v>
      </c>
      <c r="C66" s="225">
        <v>73681689.82</v>
      </c>
      <c r="D66" s="225">
        <v>6915399.17</v>
      </c>
      <c r="E66" s="225">
        <v>17489564.43</v>
      </c>
      <c r="F66" s="165">
        <f t="shared" si="9"/>
        <v>-0.6045985480268475</v>
      </c>
      <c r="G66" s="240">
        <f>D66/C66</f>
        <v>0.09385505662117564</v>
      </c>
      <c r="H66" s="241">
        <f>1-G66</f>
        <v>0.9061449433788243</v>
      </c>
      <c r="I66" s="156"/>
    </row>
    <row r="67" spans="1:9" ht="15" thickBot="1">
      <c r="A67" s="166"/>
      <c r="B67" s="167"/>
      <c r="C67" s="225"/>
      <c r="D67" s="225"/>
      <c r="E67" s="225"/>
      <c r="F67" s="165"/>
      <c r="G67" s="240"/>
      <c r="H67" s="241"/>
      <c r="I67" s="156"/>
    </row>
    <row r="68" spans="1:9" ht="16.5" thickBot="1" thickTop="1">
      <c r="A68" s="173" t="s">
        <v>14</v>
      </c>
      <c r="B68" s="177"/>
      <c r="C68" s="227">
        <f>SUM(C55:C67)</f>
        <v>1617183608.39</v>
      </c>
      <c r="D68" s="227">
        <f>SUM(D55:D67)</f>
        <v>148796730.45999998</v>
      </c>
      <c r="E68" s="227">
        <f>SUM(E55:E67)</f>
        <v>197357780.73</v>
      </c>
      <c r="F68" s="175">
        <f>(+D68-E68)/E68</f>
        <v>-0.2460559198141527</v>
      </c>
      <c r="G68" s="244">
        <f>D68/C68</f>
        <v>0.09200979387129439</v>
      </c>
      <c r="H68" s="245">
        <f>1-G68</f>
        <v>0.9079902061287056</v>
      </c>
      <c r="I68" s="156"/>
    </row>
    <row r="69" spans="1:9" ht="15" thickTop="1">
      <c r="A69" s="166"/>
      <c r="B69" s="167"/>
      <c r="C69" s="225"/>
      <c r="D69" s="225"/>
      <c r="E69" s="225"/>
      <c r="F69" s="165"/>
      <c r="G69" s="240"/>
      <c r="H69" s="241"/>
      <c r="I69" s="156"/>
    </row>
    <row r="70" spans="1:9" ht="15">
      <c r="A70" s="163" t="s">
        <v>16</v>
      </c>
      <c r="B70" s="164">
        <f>DATE(19,7,1)</f>
        <v>7122</v>
      </c>
      <c r="C70" s="225">
        <v>115325495.95</v>
      </c>
      <c r="D70" s="225">
        <v>11411946.24</v>
      </c>
      <c r="E70" s="225">
        <v>11381105.73</v>
      </c>
      <c r="F70" s="165">
        <f aca="true" t="shared" si="12" ref="F70:F81">(+D70-E70)/E70</f>
        <v>0.0027097990943626684</v>
      </c>
      <c r="G70" s="240">
        <f aca="true" t="shared" si="13" ref="G70:G78">D70/C70</f>
        <v>0.09895423510641317</v>
      </c>
      <c r="H70" s="241">
        <f aca="true" t="shared" si="14" ref="H70:H78">1-G70</f>
        <v>0.9010457648935868</v>
      </c>
      <c r="I70" s="156"/>
    </row>
    <row r="71" spans="1:9" ht="15">
      <c r="A71" s="163"/>
      <c r="B71" s="164">
        <f>DATE(19,8,1)</f>
        <v>7153</v>
      </c>
      <c r="C71" s="225">
        <v>122607190.3</v>
      </c>
      <c r="D71" s="225">
        <v>12220877.76</v>
      </c>
      <c r="E71" s="225">
        <v>11018606.25</v>
      </c>
      <c r="F71" s="165">
        <f t="shared" si="12"/>
        <v>0.10911284809728089</v>
      </c>
      <c r="G71" s="240">
        <f t="shared" si="13"/>
        <v>0.09967504948198784</v>
      </c>
      <c r="H71" s="241">
        <f t="shared" si="14"/>
        <v>0.9003249505180122</v>
      </c>
      <c r="I71" s="156"/>
    </row>
    <row r="72" spans="1:9" ht="15">
      <c r="A72" s="163"/>
      <c r="B72" s="164">
        <f>DATE(19,9,1)</f>
        <v>7184</v>
      </c>
      <c r="C72" s="225">
        <v>115423599.31</v>
      </c>
      <c r="D72" s="225">
        <v>11441576.98</v>
      </c>
      <c r="E72" s="225">
        <v>11865007.26</v>
      </c>
      <c r="F72" s="165">
        <f t="shared" si="12"/>
        <v>-0.03568731739655078</v>
      </c>
      <c r="G72" s="240">
        <f t="shared" si="13"/>
        <v>0.09912684276350349</v>
      </c>
      <c r="H72" s="241">
        <f t="shared" si="14"/>
        <v>0.9008731572364965</v>
      </c>
      <c r="I72" s="156"/>
    </row>
    <row r="73" spans="1:9" ht="15">
      <c r="A73" s="163"/>
      <c r="B73" s="164">
        <f>DATE(19,10,1)</f>
        <v>7214</v>
      </c>
      <c r="C73" s="225">
        <v>115210524.88</v>
      </c>
      <c r="D73" s="225">
        <v>11451574.32</v>
      </c>
      <c r="E73" s="225">
        <v>11049162.11</v>
      </c>
      <c r="F73" s="165">
        <f t="shared" si="12"/>
        <v>0.03642015620675882</v>
      </c>
      <c r="G73" s="240">
        <f t="shared" si="13"/>
        <v>0.09939694599888017</v>
      </c>
      <c r="H73" s="241">
        <f t="shared" si="14"/>
        <v>0.9006030540011198</v>
      </c>
      <c r="I73" s="156"/>
    </row>
    <row r="74" spans="1:9" ht="15">
      <c r="A74" s="163"/>
      <c r="B74" s="164">
        <f>DATE(19,11,1)</f>
        <v>7245</v>
      </c>
      <c r="C74" s="225">
        <v>117396631.88</v>
      </c>
      <c r="D74" s="225">
        <v>11824386.49</v>
      </c>
      <c r="E74" s="225">
        <v>10320144.72</v>
      </c>
      <c r="F74" s="165">
        <f t="shared" si="12"/>
        <v>0.1457578174349477</v>
      </c>
      <c r="G74" s="240">
        <f t="shared" si="13"/>
        <v>0.10072168426506992</v>
      </c>
      <c r="H74" s="241">
        <f t="shared" si="14"/>
        <v>0.8992783157349301</v>
      </c>
      <c r="I74" s="156"/>
    </row>
    <row r="75" spans="1:9" ht="15">
      <c r="A75" s="163"/>
      <c r="B75" s="164">
        <f>DATE(19,12,1)</f>
        <v>7275</v>
      </c>
      <c r="C75" s="225">
        <v>119668211.7</v>
      </c>
      <c r="D75" s="225">
        <v>12045926.43</v>
      </c>
      <c r="E75" s="225">
        <v>11723908.33</v>
      </c>
      <c r="F75" s="165">
        <f t="shared" si="12"/>
        <v>0.027466787604948768</v>
      </c>
      <c r="G75" s="240">
        <f t="shared" si="13"/>
        <v>0.10066103820618888</v>
      </c>
      <c r="H75" s="241">
        <f t="shared" si="14"/>
        <v>0.8993389617938111</v>
      </c>
      <c r="I75" s="156"/>
    </row>
    <row r="76" spans="1:9" ht="15">
      <c r="A76" s="163"/>
      <c r="B76" s="164">
        <f>DATE(20,1,1)</f>
        <v>7306</v>
      </c>
      <c r="C76" s="225">
        <v>106828720.7</v>
      </c>
      <c r="D76" s="225">
        <v>10728742.13</v>
      </c>
      <c r="E76" s="225">
        <v>10040160.47</v>
      </c>
      <c r="F76" s="165">
        <f t="shared" si="12"/>
        <v>0.06858273451480006</v>
      </c>
      <c r="G76" s="240">
        <f t="shared" si="13"/>
        <v>0.10042937947491494</v>
      </c>
      <c r="H76" s="241">
        <f t="shared" si="14"/>
        <v>0.8995706205250851</v>
      </c>
      <c r="I76" s="156"/>
    </row>
    <row r="77" spans="1:9" ht="15">
      <c r="A77" s="163"/>
      <c r="B77" s="164">
        <f>DATE(20,2,1)</f>
        <v>7337</v>
      </c>
      <c r="C77" s="225">
        <v>120448648.71</v>
      </c>
      <c r="D77" s="225">
        <v>12303150.61</v>
      </c>
      <c r="E77" s="225">
        <v>9810144.7</v>
      </c>
      <c r="F77" s="165">
        <f t="shared" si="12"/>
        <v>0.2541252944006015</v>
      </c>
      <c r="G77" s="240">
        <f t="shared" si="13"/>
        <v>0.10214436394070195</v>
      </c>
      <c r="H77" s="241">
        <f t="shared" si="14"/>
        <v>0.8978556360592981</v>
      </c>
      <c r="I77" s="156"/>
    </row>
    <row r="78" spans="1:9" ht="15">
      <c r="A78" s="163"/>
      <c r="B78" s="164">
        <f>DATE(20,3,1)</f>
        <v>7366</v>
      </c>
      <c r="C78" s="225">
        <v>57260010.42</v>
      </c>
      <c r="D78" s="225">
        <v>6157582.87</v>
      </c>
      <c r="E78" s="225">
        <v>12873586.44</v>
      </c>
      <c r="F78" s="165">
        <f t="shared" si="12"/>
        <v>-0.5216886219936703</v>
      </c>
      <c r="G78" s="240">
        <f t="shared" si="13"/>
        <v>0.1075372292955304</v>
      </c>
      <c r="H78" s="241">
        <f t="shared" si="14"/>
        <v>0.8924627707044696</v>
      </c>
      <c r="I78" s="156"/>
    </row>
    <row r="79" spans="1:9" ht="15">
      <c r="A79" s="163"/>
      <c r="B79" s="164">
        <f>DATE(20,4,1)</f>
        <v>7397</v>
      </c>
      <c r="C79" s="225">
        <v>0</v>
      </c>
      <c r="D79" s="225">
        <v>0</v>
      </c>
      <c r="E79" s="225">
        <v>11149341.83</v>
      </c>
      <c r="F79" s="165">
        <f t="shared" si="12"/>
        <v>-1</v>
      </c>
      <c r="G79" s="240">
        <v>0</v>
      </c>
      <c r="H79" s="241">
        <v>0</v>
      </c>
      <c r="I79" s="156"/>
    </row>
    <row r="80" spans="1:9" ht="15">
      <c r="A80" s="163"/>
      <c r="B80" s="164">
        <f>DATE(20,5,1)</f>
        <v>7427</v>
      </c>
      <c r="C80" s="225">
        <v>0</v>
      </c>
      <c r="D80" s="225">
        <v>0</v>
      </c>
      <c r="E80" s="225">
        <v>12383402.07</v>
      </c>
      <c r="F80" s="165">
        <f t="shared" si="12"/>
        <v>-1</v>
      </c>
      <c r="G80" s="240">
        <v>0</v>
      </c>
      <c r="H80" s="241">
        <v>0</v>
      </c>
      <c r="I80" s="156"/>
    </row>
    <row r="81" spans="1:9" ht="15">
      <c r="A81" s="163"/>
      <c r="B81" s="164">
        <v>44002</v>
      </c>
      <c r="C81" s="225">
        <v>122769878.04</v>
      </c>
      <c r="D81" s="225">
        <v>12664601.32</v>
      </c>
      <c r="E81" s="225">
        <v>11519539.03</v>
      </c>
      <c r="F81" s="165">
        <f t="shared" si="12"/>
        <v>0.09940174576586343</v>
      </c>
      <c r="G81" s="240">
        <f>D81/C81</f>
        <v>0.10315723630411777</v>
      </c>
      <c r="H81" s="241">
        <f>1-G81</f>
        <v>0.8968427636958822</v>
      </c>
      <c r="I81" s="156"/>
    </row>
    <row r="82" spans="1:9" ht="15" thickBot="1">
      <c r="A82" s="166"/>
      <c r="B82" s="164"/>
      <c r="C82" s="225"/>
      <c r="D82" s="225"/>
      <c r="E82" s="225"/>
      <c r="F82" s="165"/>
      <c r="G82" s="240"/>
      <c r="H82" s="241"/>
      <c r="I82" s="156"/>
    </row>
    <row r="83" spans="1:9" ht="16.5" thickBot="1" thickTop="1">
      <c r="A83" s="173" t="s">
        <v>14</v>
      </c>
      <c r="B83" s="174"/>
      <c r="C83" s="227">
        <f>SUM(C70:C82)</f>
        <v>1112938911.89</v>
      </c>
      <c r="D83" s="229">
        <f>SUM(D70:D82)</f>
        <v>112250365.15</v>
      </c>
      <c r="E83" s="270">
        <f>SUM(E70:E82)</f>
        <v>135134108.94</v>
      </c>
      <c r="F83" s="271">
        <f>(+D83-E83)/E83</f>
        <v>-0.16934098999506078</v>
      </c>
      <c r="G83" s="248">
        <f>D83/C83</f>
        <v>0.10085941281303186</v>
      </c>
      <c r="H83" s="269">
        <f>1-G83</f>
        <v>0.8991405871869681</v>
      </c>
      <c r="I83" s="156"/>
    </row>
    <row r="84" spans="1:9" ht="15" thickTop="1">
      <c r="A84" s="166"/>
      <c r="B84" s="167"/>
      <c r="C84" s="225"/>
      <c r="D84" s="225"/>
      <c r="E84" s="225"/>
      <c r="F84" s="165"/>
      <c r="G84" s="240"/>
      <c r="H84" s="241"/>
      <c r="I84" s="156"/>
    </row>
    <row r="85" spans="1:9" ht="15">
      <c r="A85" s="163" t="s">
        <v>66</v>
      </c>
      <c r="B85" s="164">
        <f>DATE(19,7,1)</f>
        <v>7122</v>
      </c>
      <c r="C85" s="225">
        <v>39783172.6</v>
      </c>
      <c r="D85" s="225">
        <v>3906046.69</v>
      </c>
      <c r="E85" s="225">
        <v>4536017.05</v>
      </c>
      <c r="F85" s="165">
        <f aca="true" t="shared" si="15" ref="F85:F96">(+D85-E85)/E85</f>
        <v>-0.1388818324657752</v>
      </c>
      <c r="G85" s="240">
        <f aca="true" t="shared" si="16" ref="G85:G93">D85/C85</f>
        <v>0.09818338847113464</v>
      </c>
      <c r="H85" s="241">
        <f aca="true" t="shared" si="17" ref="H85:H93">1-G85</f>
        <v>0.9018166115288654</v>
      </c>
      <c r="I85" s="156"/>
    </row>
    <row r="86" spans="1:9" ht="15">
      <c r="A86" s="163"/>
      <c r="B86" s="164">
        <f>DATE(19,8,1)</f>
        <v>7153</v>
      </c>
      <c r="C86" s="225">
        <v>43743175.45</v>
      </c>
      <c r="D86" s="225">
        <v>4670857.45</v>
      </c>
      <c r="E86" s="225">
        <v>4611969.17</v>
      </c>
      <c r="F86" s="165">
        <f t="shared" si="15"/>
        <v>0.012768576247876405</v>
      </c>
      <c r="G86" s="240">
        <f t="shared" si="16"/>
        <v>0.1067791124432417</v>
      </c>
      <c r="H86" s="241">
        <f t="shared" si="17"/>
        <v>0.8932208875567583</v>
      </c>
      <c r="I86" s="156"/>
    </row>
    <row r="87" spans="1:9" ht="15">
      <c r="A87" s="163"/>
      <c r="B87" s="164">
        <f>DATE(19,9,1)</f>
        <v>7184</v>
      </c>
      <c r="C87" s="225">
        <v>42075238.56</v>
      </c>
      <c r="D87" s="225">
        <v>4421418.32</v>
      </c>
      <c r="E87" s="225">
        <v>4472303.22</v>
      </c>
      <c r="F87" s="165">
        <f t="shared" si="15"/>
        <v>-0.011377783995602929</v>
      </c>
      <c r="G87" s="240">
        <f t="shared" si="16"/>
        <v>0.10508361856807973</v>
      </c>
      <c r="H87" s="241">
        <f t="shared" si="17"/>
        <v>0.8949163814319203</v>
      </c>
      <c r="I87" s="156"/>
    </row>
    <row r="88" spans="1:9" ht="15">
      <c r="A88" s="163"/>
      <c r="B88" s="164">
        <f>DATE(19,10,1)</f>
        <v>7214</v>
      </c>
      <c r="C88" s="225">
        <v>41772739.68</v>
      </c>
      <c r="D88" s="225">
        <v>4469558.96</v>
      </c>
      <c r="E88" s="225">
        <v>4257625.94</v>
      </c>
      <c r="F88" s="165">
        <f t="shared" si="15"/>
        <v>0.049777275642960674</v>
      </c>
      <c r="G88" s="240">
        <f t="shared" si="16"/>
        <v>0.10699702711000161</v>
      </c>
      <c r="H88" s="241">
        <f t="shared" si="17"/>
        <v>0.8930029728899984</v>
      </c>
      <c r="I88" s="156"/>
    </row>
    <row r="89" spans="1:9" ht="15">
      <c r="A89" s="163"/>
      <c r="B89" s="164">
        <f>DATE(19,11,1)</f>
        <v>7245</v>
      </c>
      <c r="C89" s="225">
        <v>42815164.24</v>
      </c>
      <c r="D89" s="225">
        <v>4362721.83</v>
      </c>
      <c r="E89" s="225">
        <v>4366684.07</v>
      </c>
      <c r="F89" s="165">
        <f t="shared" si="15"/>
        <v>-0.0009073795897490297</v>
      </c>
      <c r="G89" s="240">
        <f t="shared" si="16"/>
        <v>0.10189665057793085</v>
      </c>
      <c r="H89" s="241">
        <f t="shared" si="17"/>
        <v>0.8981033494220692</v>
      </c>
      <c r="I89" s="156"/>
    </row>
    <row r="90" spans="1:9" ht="15">
      <c r="A90" s="163"/>
      <c r="B90" s="164">
        <f>DATE(19,12,1)</f>
        <v>7275</v>
      </c>
      <c r="C90" s="225">
        <v>44549769.78</v>
      </c>
      <c r="D90" s="225">
        <v>4542091.81</v>
      </c>
      <c r="E90" s="225">
        <v>4828790.12</v>
      </c>
      <c r="F90" s="165">
        <f t="shared" si="15"/>
        <v>-0.05937270058861049</v>
      </c>
      <c r="G90" s="240">
        <f t="shared" si="16"/>
        <v>0.10195544965619796</v>
      </c>
      <c r="H90" s="241">
        <f t="shared" si="17"/>
        <v>0.898044550343802</v>
      </c>
      <c r="I90" s="156"/>
    </row>
    <row r="91" spans="1:9" ht="15">
      <c r="A91" s="163"/>
      <c r="B91" s="164">
        <f>DATE(20,1,1)</f>
        <v>7306</v>
      </c>
      <c r="C91" s="225">
        <v>41625555.55</v>
      </c>
      <c r="D91" s="225">
        <v>4236468.11</v>
      </c>
      <c r="E91" s="225">
        <v>4076690.38</v>
      </c>
      <c r="F91" s="165">
        <f t="shared" si="15"/>
        <v>0.03919300096565108</v>
      </c>
      <c r="G91" s="240">
        <f t="shared" si="16"/>
        <v>0.10177565329815762</v>
      </c>
      <c r="H91" s="241">
        <f t="shared" si="17"/>
        <v>0.8982243467018424</v>
      </c>
      <c r="I91" s="156"/>
    </row>
    <row r="92" spans="1:9" ht="15">
      <c r="A92" s="163"/>
      <c r="B92" s="164">
        <f>DATE(20,2,1)</f>
        <v>7337</v>
      </c>
      <c r="C92" s="225">
        <v>49130192.36</v>
      </c>
      <c r="D92" s="225">
        <v>5084258.8</v>
      </c>
      <c r="E92" s="225">
        <v>4582840.96</v>
      </c>
      <c r="F92" s="165">
        <f t="shared" si="15"/>
        <v>0.10941200979402957</v>
      </c>
      <c r="G92" s="240">
        <f t="shared" si="16"/>
        <v>0.10348542425287585</v>
      </c>
      <c r="H92" s="241">
        <f t="shared" si="17"/>
        <v>0.8965145757471241</v>
      </c>
      <c r="I92" s="156"/>
    </row>
    <row r="93" spans="1:9" ht="15">
      <c r="A93" s="163"/>
      <c r="B93" s="164">
        <f>DATE(20,3,1)</f>
        <v>7366</v>
      </c>
      <c r="C93" s="225">
        <v>25138411.57</v>
      </c>
      <c r="D93" s="225">
        <v>2617038.55</v>
      </c>
      <c r="E93" s="225">
        <v>5571169.22</v>
      </c>
      <c r="F93" s="165">
        <f t="shared" si="15"/>
        <v>-0.5302532652203302</v>
      </c>
      <c r="G93" s="240">
        <f t="shared" si="16"/>
        <v>0.10410516761222713</v>
      </c>
      <c r="H93" s="241">
        <f t="shared" si="17"/>
        <v>0.8958948323877729</v>
      </c>
      <c r="I93" s="156"/>
    </row>
    <row r="94" spans="1:9" ht="15">
      <c r="A94" s="163"/>
      <c r="B94" s="164">
        <f>DATE(20,4,1)</f>
        <v>7397</v>
      </c>
      <c r="C94" s="225">
        <v>0</v>
      </c>
      <c r="D94" s="225">
        <v>0</v>
      </c>
      <c r="E94" s="225">
        <v>4562955.48</v>
      </c>
      <c r="F94" s="165">
        <f t="shared" si="15"/>
        <v>-1</v>
      </c>
      <c r="G94" s="240">
        <v>0</v>
      </c>
      <c r="H94" s="241">
        <v>0</v>
      </c>
      <c r="I94" s="156"/>
    </row>
    <row r="95" spans="1:9" ht="15">
      <c r="A95" s="163"/>
      <c r="B95" s="164">
        <f>DATE(20,5,1)</f>
        <v>7427</v>
      </c>
      <c r="C95" s="225">
        <v>0</v>
      </c>
      <c r="D95" s="225">
        <v>0</v>
      </c>
      <c r="E95" s="225">
        <v>4716491.83</v>
      </c>
      <c r="F95" s="165">
        <f t="shared" si="15"/>
        <v>-1</v>
      </c>
      <c r="G95" s="240">
        <v>0</v>
      </c>
      <c r="H95" s="241">
        <v>0</v>
      </c>
      <c r="I95" s="156"/>
    </row>
    <row r="96" spans="1:9" ht="15">
      <c r="A96" s="163"/>
      <c r="B96" s="164">
        <v>44002</v>
      </c>
      <c r="C96" s="225">
        <v>57135154.09</v>
      </c>
      <c r="D96" s="225">
        <v>5909062.69</v>
      </c>
      <c r="E96" s="225">
        <v>4049911.37</v>
      </c>
      <c r="F96" s="165">
        <f t="shared" si="15"/>
        <v>0.4590597546829772</v>
      </c>
      <c r="G96" s="240">
        <f>D96/C96</f>
        <v>0.10342253878745074</v>
      </c>
      <c r="H96" s="241">
        <f>1-G96</f>
        <v>0.8965774612125492</v>
      </c>
      <c r="I96" s="156"/>
    </row>
    <row r="97" spans="1:9" ht="15" thickBot="1">
      <c r="A97" s="166"/>
      <c r="B97" s="164"/>
      <c r="C97" s="225"/>
      <c r="D97" s="225"/>
      <c r="E97" s="225"/>
      <c r="F97" s="165"/>
      <c r="G97" s="240"/>
      <c r="H97" s="241"/>
      <c r="I97" s="156"/>
    </row>
    <row r="98" spans="1:9" ht="16.5" thickBot="1" thickTop="1">
      <c r="A98" s="173" t="s">
        <v>14</v>
      </c>
      <c r="B98" s="174"/>
      <c r="C98" s="227">
        <f>SUM(C85:C97)</f>
        <v>427768573.88</v>
      </c>
      <c r="D98" s="229">
        <f>SUM(D85:D97)</f>
        <v>44219523.20999999</v>
      </c>
      <c r="E98" s="270">
        <f>SUM(E85:E97)</f>
        <v>54633448.809999995</v>
      </c>
      <c r="F98" s="271">
        <f>(+D98-E98)/E98</f>
        <v>-0.1906144647067175</v>
      </c>
      <c r="G98" s="248">
        <f>D98/C98</f>
        <v>0.10337253812012076</v>
      </c>
      <c r="H98" s="269">
        <f>1-G98</f>
        <v>0.8966274618798793</v>
      </c>
      <c r="I98" s="156"/>
    </row>
    <row r="99" spans="1:9" ht="15" thickTop="1">
      <c r="A99" s="166"/>
      <c r="B99" s="167"/>
      <c r="C99" s="225"/>
      <c r="D99" s="225"/>
      <c r="E99" s="225"/>
      <c r="F99" s="165"/>
      <c r="G99" s="240"/>
      <c r="H99" s="241"/>
      <c r="I99" s="156"/>
    </row>
    <row r="100" spans="1:9" ht="15">
      <c r="A100" s="163" t="s">
        <v>17</v>
      </c>
      <c r="B100" s="164">
        <f>DATE(19,7,1)</f>
        <v>7122</v>
      </c>
      <c r="C100" s="225">
        <v>45458425.4</v>
      </c>
      <c r="D100" s="225">
        <v>4987956.2</v>
      </c>
      <c r="E100" s="225">
        <v>5381167.31</v>
      </c>
      <c r="F100" s="165">
        <f aca="true" t="shared" si="18" ref="F100:F111">(+D100-E100)/E100</f>
        <v>-0.07307171239022475</v>
      </c>
      <c r="G100" s="240">
        <f aca="true" t="shared" si="19" ref="G100:G108">D100/C100</f>
        <v>0.10972567034844986</v>
      </c>
      <c r="H100" s="241">
        <f aca="true" t="shared" si="20" ref="H100:H108">1-G100</f>
        <v>0.8902743296515502</v>
      </c>
      <c r="I100" s="156"/>
    </row>
    <row r="101" spans="1:9" ht="15">
      <c r="A101" s="163"/>
      <c r="B101" s="164">
        <f>DATE(19,8,1)</f>
        <v>7153</v>
      </c>
      <c r="C101" s="225">
        <v>47408888.34</v>
      </c>
      <c r="D101" s="225">
        <v>5297182</v>
      </c>
      <c r="E101" s="225">
        <v>5291596.82</v>
      </c>
      <c r="F101" s="165">
        <f t="shared" si="18"/>
        <v>0.0010554810182986886</v>
      </c>
      <c r="G101" s="240">
        <f t="shared" si="19"/>
        <v>0.1117339424204689</v>
      </c>
      <c r="H101" s="241">
        <f t="shared" si="20"/>
        <v>0.8882660575795311</v>
      </c>
      <c r="I101" s="156"/>
    </row>
    <row r="102" spans="1:9" ht="15">
      <c r="A102" s="163"/>
      <c r="B102" s="164">
        <f>DATE(19,9,1)</f>
        <v>7184</v>
      </c>
      <c r="C102" s="225">
        <v>43078381.07</v>
      </c>
      <c r="D102" s="225">
        <v>4757922.75</v>
      </c>
      <c r="E102" s="225">
        <v>5027629.3</v>
      </c>
      <c r="F102" s="165">
        <f t="shared" si="18"/>
        <v>-0.053644875925915984</v>
      </c>
      <c r="G102" s="240">
        <f t="shared" si="19"/>
        <v>0.11044803987105822</v>
      </c>
      <c r="H102" s="241">
        <f t="shared" si="20"/>
        <v>0.8895519601289418</v>
      </c>
      <c r="I102" s="156"/>
    </row>
    <row r="103" spans="1:9" ht="15">
      <c r="A103" s="163"/>
      <c r="B103" s="164">
        <f>DATE(19,10,1)</f>
        <v>7214</v>
      </c>
      <c r="C103" s="225">
        <v>45559884.78</v>
      </c>
      <c r="D103" s="225">
        <v>5100767.21</v>
      </c>
      <c r="E103" s="225">
        <v>5016135.3</v>
      </c>
      <c r="F103" s="165">
        <f t="shared" si="18"/>
        <v>0.016871935252623697</v>
      </c>
      <c r="G103" s="240">
        <f t="shared" si="19"/>
        <v>0.11195742119697256</v>
      </c>
      <c r="H103" s="241">
        <f t="shared" si="20"/>
        <v>0.8880425788030274</v>
      </c>
      <c r="I103" s="156"/>
    </row>
    <row r="104" spans="1:9" ht="15">
      <c r="A104" s="163"/>
      <c r="B104" s="164">
        <f>DATE(19,11,1)</f>
        <v>7245</v>
      </c>
      <c r="C104" s="225">
        <v>45568371.52</v>
      </c>
      <c r="D104" s="225">
        <v>5049815.86</v>
      </c>
      <c r="E104" s="225">
        <v>4899996.98</v>
      </c>
      <c r="F104" s="165">
        <f t="shared" si="18"/>
        <v>0.0305753004770219</v>
      </c>
      <c r="G104" s="240">
        <f t="shared" si="19"/>
        <v>0.11081844032507572</v>
      </c>
      <c r="H104" s="241">
        <f t="shared" si="20"/>
        <v>0.8891815596749243</v>
      </c>
      <c r="I104" s="156"/>
    </row>
    <row r="105" spans="1:9" ht="15">
      <c r="A105" s="163"/>
      <c r="B105" s="164">
        <f>DATE(19,12,1)</f>
        <v>7275</v>
      </c>
      <c r="C105" s="225">
        <v>45369161.39</v>
      </c>
      <c r="D105" s="225">
        <v>5055651.33</v>
      </c>
      <c r="E105" s="225">
        <v>5247804.62</v>
      </c>
      <c r="F105" s="165">
        <f t="shared" si="18"/>
        <v>-0.03661593826639072</v>
      </c>
      <c r="G105" s="240">
        <f t="shared" si="19"/>
        <v>0.11143365173847662</v>
      </c>
      <c r="H105" s="241">
        <f t="shared" si="20"/>
        <v>0.8885663482615234</v>
      </c>
      <c r="I105" s="156"/>
    </row>
    <row r="106" spans="1:9" ht="15">
      <c r="A106" s="163"/>
      <c r="B106" s="164">
        <f>DATE(20,1,1)</f>
        <v>7306</v>
      </c>
      <c r="C106" s="225">
        <v>43113578.41</v>
      </c>
      <c r="D106" s="225">
        <v>4906027.53</v>
      </c>
      <c r="E106" s="225">
        <v>4473121.81</v>
      </c>
      <c r="F106" s="165">
        <f t="shared" si="18"/>
        <v>0.09677932736645074</v>
      </c>
      <c r="G106" s="240">
        <f t="shared" si="19"/>
        <v>0.11379309514382759</v>
      </c>
      <c r="H106" s="241">
        <f t="shared" si="20"/>
        <v>0.8862069048561724</v>
      </c>
      <c r="I106" s="156"/>
    </row>
    <row r="107" spans="1:9" ht="15">
      <c r="A107" s="163"/>
      <c r="B107" s="164">
        <f>DATE(20,2,1)</f>
        <v>7337</v>
      </c>
      <c r="C107" s="225">
        <v>49276068.97</v>
      </c>
      <c r="D107" s="225">
        <v>5504597.85</v>
      </c>
      <c r="E107" s="225">
        <v>4898275.77</v>
      </c>
      <c r="F107" s="165">
        <f t="shared" si="18"/>
        <v>0.12378275713129155</v>
      </c>
      <c r="G107" s="240">
        <f t="shared" si="19"/>
        <v>0.11170935435923836</v>
      </c>
      <c r="H107" s="241">
        <f t="shared" si="20"/>
        <v>0.8882906456407617</v>
      </c>
      <c r="I107" s="156"/>
    </row>
    <row r="108" spans="1:9" ht="15">
      <c r="A108" s="163"/>
      <c r="B108" s="164">
        <f>DATE(20,3,1)</f>
        <v>7366</v>
      </c>
      <c r="C108" s="225">
        <v>27707352.31</v>
      </c>
      <c r="D108" s="225">
        <v>3138283.15</v>
      </c>
      <c r="E108" s="225">
        <v>6230289</v>
      </c>
      <c r="F108" s="165">
        <f t="shared" si="18"/>
        <v>-0.4962861032610205</v>
      </c>
      <c r="G108" s="240">
        <f t="shared" si="19"/>
        <v>0.11326535696690682</v>
      </c>
      <c r="H108" s="241">
        <f t="shared" si="20"/>
        <v>0.8867346430330931</v>
      </c>
      <c r="I108" s="156"/>
    </row>
    <row r="109" spans="1:9" ht="15">
      <c r="A109" s="163"/>
      <c r="B109" s="164">
        <f>DATE(20,4,1)</f>
        <v>7397</v>
      </c>
      <c r="C109" s="225">
        <v>0</v>
      </c>
      <c r="D109" s="225">
        <v>0</v>
      </c>
      <c r="E109" s="225">
        <v>5346286.34</v>
      </c>
      <c r="F109" s="165">
        <f t="shared" si="18"/>
        <v>-1</v>
      </c>
      <c r="G109" s="240">
        <v>0</v>
      </c>
      <c r="H109" s="241">
        <v>0</v>
      </c>
      <c r="I109" s="156"/>
    </row>
    <row r="110" spans="1:9" ht="15">
      <c r="A110" s="163"/>
      <c r="B110" s="164">
        <f>DATE(20,5,1)</f>
        <v>7427</v>
      </c>
      <c r="C110" s="225">
        <v>0</v>
      </c>
      <c r="D110" s="225">
        <v>0</v>
      </c>
      <c r="E110" s="225">
        <v>5713926.53</v>
      </c>
      <c r="F110" s="165">
        <f t="shared" si="18"/>
        <v>-1</v>
      </c>
      <c r="G110" s="240">
        <v>0</v>
      </c>
      <c r="H110" s="241">
        <v>0</v>
      </c>
      <c r="I110" s="156"/>
    </row>
    <row r="111" spans="1:9" ht="15">
      <c r="A111" s="163"/>
      <c r="B111" s="164">
        <v>44002</v>
      </c>
      <c r="C111" s="225">
        <v>36545664.24</v>
      </c>
      <c r="D111" s="225">
        <v>4078817.65</v>
      </c>
      <c r="E111" s="225">
        <v>5198323.91</v>
      </c>
      <c r="F111" s="165">
        <f t="shared" si="18"/>
        <v>-0.21535908100039888</v>
      </c>
      <c r="G111" s="240">
        <f>D111/C111</f>
        <v>0.11160879778279273</v>
      </c>
      <c r="H111" s="241">
        <f>1-G111</f>
        <v>0.8883912022172072</v>
      </c>
      <c r="I111" s="156"/>
    </row>
    <row r="112" spans="1:9" ht="15" thickBot="1">
      <c r="A112" s="166"/>
      <c r="B112" s="164"/>
      <c r="C112" s="225"/>
      <c r="D112" s="225"/>
      <c r="E112" s="225"/>
      <c r="F112" s="165"/>
      <c r="G112" s="240"/>
      <c r="H112" s="241"/>
      <c r="I112" s="156"/>
    </row>
    <row r="113" spans="1:9" ht="16.5" thickBot="1" thickTop="1">
      <c r="A113" s="173" t="s">
        <v>14</v>
      </c>
      <c r="B113" s="174"/>
      <c r="C113" s="227">
        <f>SUM(C100:C112)</f>
        <v>429085776.43</v>
      </c>
      <c r="D113" s="229">
        <f>SUM(D100:D112)</f>
        <v>47877021.53</v>
      </c>
      <c r="E113" s="270">
        <f>SUM(E100:E112)</f>
        <v>62724553.69</v>
      </c>
      <c r="F113" s="271">
        <f>(+D113-E113)/E113</f>
        <v>-0.23671004872159174</v>
      </c>
      <c r="G113" s="248">
        <f>D113/C113</f>
        <v>0.11157913909041108</v>
      </c>
      <c r="H113" s="269">
        <f>1-G113</f>
        <v>0.8884208609095889</v>
      </c>
      <c r="I113" s="156"/>
    </row>
    <row r="114" spans="1:9" ht="15" thickTop="1">
      <c r="A114" s="166"/>
      <c r="B114" s="167"/>
      <c r="C114" s="225"/>
      <c r="D114" s="225"/>
      <c r="E114" s="225"/>
      <c r="F114" s="165"/>
      <c r="G114" s="240"/>
      <c r="H114" s="241"/>
      <c r="I114" s="156"/>
    </row>
    <row r="115" spans="1:9" ht="15">
      <c r="A115" s="163" t="s">
        <v>67</v>
      </c>
      <c r="B115" s="164">
        <f>DATE(19,7,1)</f>
        <v>7122</v>
      </c>
      <c r="C115" s="225">
        <v>108871593.49</v>
      </c>
      <c r="D115" s="225">
        <v>10859844.9</v>
      </c>
      <c r="E115" s="225">
        <v>11368416.64</v>
      </c>
      <c r="F115" s="165">
        <f aca="true" t="shared" si="21" ref="F115:F126">(+D115-E115)/E115</f>
        <v>-0.04473549449362899</v>
      </c>
      <c r="G115" s="240">
        <f aca="true" t="shared" si="22" ref="G115:G123">D115/C115</f>
        <v>0.09974911316970383</v>
      </c>
      <c r="H115" s="241">
        <f aca="true" t="shared" si="23" ref="H115:H123">1-G115</f>
        <v>0.9002508868302962</v>
      </c>
      <c r="I115" s="156"/>
    </row>
    <row r="116" spans="1:9" ht="15">
      <c r="A116" s="163"/>
      <c r="B116" s="164">
        <f>DATE(19,8,1)</f>
        <v>7153</v>
      </c>
      <c r="C116" s="225">
        <v>110085881.99</v>
      </c>
      <c r="D116" s="225">
        <v>10606265.73</v>
      </c>
      <c r="E116" s="225">
        <v>11900739.72</v>
      </c>
      <c r="F116" s="165">
        <f t="shared" si="21"/>
        <v>-0.10877256544183962</v>
      </c>
      <c r="G116" s="240">
        <f t="shared" si="22"/>
        <v>0.09634537633956963</v>
      </c>
      <c r="H116" s="241">
        <f t="shared" si="23"/>
        <v>0.9036546236604304</v>
      </c>
      <c r="I116" s="156"/>
    </row>
    <row r="117" spans="1:9" ht="15">
      <c r="A117" s="163"/>
      <c r="B117" s="164">
        <f>DATE(19,9,1)</f>
        <v>7184</v>
      </c>
      <c r="C117" s="225">
        <v>102382579.39</v>
      </c>
      <c r="D117" s="225">
        <v>10294221.54</v>
      </c>
      <c r="E117" s="225">
        <v>10737435.65</v>
      </c>
      <c r="F117" s="165">
        <f t="shared" si="21"/>
        <v>-0.04127746367448556</v>
      </c>
      <c r="G117" s="240">
        <f t="shared" si="22"/>
        <v>0.10054661253245847</v>
      </c>
      <c r="H117" s="241">
        <f t="shared" si="23"/>
        <v>0.8994533874675416</v>
      </c>
      <c r="I117" s="156"/>
    </row>
    <row r="118" spans="1:9" ht="15">
      <c r="A118" s="163"/>
      <c r="B118" s="164">
        <f>DATE(19,10,1)</f>
        <v>7214</v>
      </c>
      <c r="C118" s="225">
        <v>100553757.09</v>
      </c>
      <c r="D118" s="225">
        <v>9880729.37</v>
      </c>
      <c r="E118" s="225">
        <v>10634805.06</v>
      </c>
      <c r="F118" s="165">
        <f t="shared" si="21"/>
        <v>-0.0709063951568099</v>
      </c>
      <c r="G118" s="240">
        <f t="shared" si="22"/>
        <v>0.09826315451501544</v>
      </c>
      <c r="H118" s="241">
        <f t="shared" si="23"/>
        <v>0.9017368454849846</v>
      </c>
      <c r="I118" s="156"/>
    </row>
    <row r="119" spans="1:9" ht="15">
      <c r="A119" s="163"/>
      <c r="B119" s="164">
        <f>DATE(19,11,1)</f>
        <v>7245</v>
      </c>
      <c r="C119" s="225">
        <v>101636027.59</v>
      </c>
      <c r="D119" s="225">
        <v>10205648.99</v>
      </c>
      <c r="E119" s="225">
        <v>10364939.92</v>
      </c>
      <c r="F119" s="165">
        <f t="shared" si="21"/>
        <v>-0.015368244411396425</v>
      </c>
      <c r="G119" s="240">
        <f t="shared" si="22"/>
        <v>0.10041369415941377</v>
      </c>
      <c r="H119" s="241">
        <f t="shared" si="23"/>
        <v>0.8995863058405862</v>
      </c>
      <c r="I119" s="156"/>
    </row>
    <row r="120" spans="1:9" ht="15">
      <c r="A120" s="163"/>
      <c r="B120" s="164">
        <f>DATE(19,12,1)</f>
        <v>7275</v>
      </c>
      <c r="C120" s="225">
        <v>109465965.75</v>
      </c>
      <c r="D120" s="225">
        <v>10750579.37</v>
      </c>
      <c r="E120" s="225">
        <v>11597435.08</v>
      </c>
      <c r="F120" s="165">
        <f t="shared" si="21"/>
        <v>-0.07302094852511137</v>
      </c>
      <c r="G120" s="240">
        <f t="shared" si="22"/>
        <v>0.09820933197220708</v>
      </c>
      <c r="H120" s="241">
        <f t="shared" si="23"/>
        <v>0.901790668027793</v>
      </c>
      <c r="I120" s="156"/>
    </row>
    <row r="121" spans="1:9" ht="15">
      <c r="A121" s="163"/>
      <c r="B121" s="164">
        <f>DATE(20,1,1)</f>
        <v>7306</v>
      </c>
      <c r="C121" s="225">
        <v>105338022.19</v>
      </c>
      <c r="D121" s="225">
        <v>10353140.8</v>
      </c>
      <c r="E121" s="225">
        <v>9957126.17</v>
      </c>
      <c r="F121" s="165">
        <f t="shared" si="21"/>
        <v>0.03977198071398957</v>
      </c>
      <c r="G121" s="240">
        <f t="shared" si="22"/>
        <v>0.09828493629134087</v>
      </c>
      <c r="H121" s="241">
        <f t="shared" si="23"/>
        <v>0.9017150637086592</v>
      </c>
      <c r="I121" s="156"/>
    </row>
    <row r="122" spans="1:9" ht="15">
      <c r="A122" s="163"/>
      <c r="B122" s="164">
        <f>DATE(20,2,1)</f>
        <v>7337</v>
      </c>
      <c r="C122" s="225">
        <v>116937099.9</v>
      </c>
      <c r="D122" s="225">
        <v>11744098.83</v>
      </c>
      <c r="E122" s="225">
        <v>10422099.2</v>
      </c>
      <c r="F122" s="165">
        <f t="shared" si="21"/>
        <v>0.12684581144650792</v>
      </c>
      <c r="G122" s="240">
        <f t="shared" si="22"/>
        <v>0.10043090550426759</v>
      </c>
      <c r="H122" s="241">
        <f t="shared" si="23"/>
        <v>0.8995690944957324</v>
      </c>
      <c r="I122" s="156"/>
    </row>
    <row r="123" spans="1:9" ht="15">
      <c r="A123" s="163"/>
      <c r="B123" s="164">
        <f>DATE(20,3,1)</f>
        <v>7366</v>
      </c>
      <c r="C123" s="225">
        <v>62451920.47</v>
      </c>
      <c r="D123" s="225">
        <v>6268399.54</v>
      </c>
      <c r="E123" s="225">
        <v>13240355.48</v>
      </c>
      <c r="F123" s="165">
        <f t="shared" si="21"/>
        <v>-0.5265686371133594</v>
      </c>
      <c r="G123" s="240">
        <f t="shared" si="22"/>
        <v>0.10037160575408002</v>
      </c>
      <c r="H123" s="241">
        <f t="shared" si="23"/>
        <v>0.89962839424592</v>
      </c>
      <c r="I123" s="156"/>
    </row>
    <row r="124" spans="1:9" ht="15">
      <c r="A124" s="163"/>
      <c r="B124" s="164">
        <f>DATE(20,4,1)</f>
        <v>7397</v>
      </c>
      <c r="C124" s="225">
        <v>0</v>
      </c>
      <c r="D124" s="225">
        <v>0</v>
      </c>
      <c r="E124" s="225">
        <v>10454491.31</v>
      </c>
      <c r="F124" s="165">
        <f t="shared" si="21"/>
        <v>-1</v>
      </c>
      <c r="G124" s="240">
        <v>0</v>
      </c>
      <c r="H124" s="241">
        <v>0</v>
      </c>
      <c r="I124" s="156"/>
    </row>
    <row r="125" spans="1:9" ht="15">
      <c r="A125" s="163"/>
      <c r="B125" s="164">
        <f>DATE(20,5,1)</f>
        <v>7427</v>
      </c>
      <c r="C125" s="225">
        <v>0</v>
      </c>
      <c r="D125" s="225">
        <v>0</v>
      </c>
      <c r="E125" s="225">
        <v>11575440.46</v>
      </c>
      <c r="F125" s="165">
        <f t="shared" si="21"/>
        <v>-1</v>
      </c>
      <c r="G125" s="240">
        <v>0</v>
      </c>
      <c r="H125" s="241">
        <v>0</v>
      </c>
      <c r="I125" s="156"/>
    </row>
    <row r="126" spans="1:9" ht="15">
      <c r="A126" s="163"/>
      <c r="B126" s="164">
        <v>44002</v>
      </c>
      <c r="C126" s="225">
        <v>120466879.99</v>
      </c>
      <c r="D126" s="225">
        <v>12193441.43</v>
      </c>
      <c r="E126" s="225">
        <v>11324177.66</v>
      </c>
      <c r="F126" s="165">
        <f t="shared" si="21"/>
        <v>0.07676175666781261</v>
      </c>
      <c r="G126" s="240">
        <f>D126/C126</f>
        <v>0.10121820562641103</v>
      </c>
      <c r="H126" s="241">
        <f>1-G126</f>
        <v>0.898781794373589</v>
      </c>
      <c r="I126" s="156"/>
    </row>
    <row r="127" spans="1:9" ht="15" thickBot="1">
      <c r="A127" s="166"/>
      <c r="B127" s="164"/>
      <c r="C127" s="225"/>
      <c r="D127" s="225"/>
      <c r="E127" s="225"/>
      <c r="F127" s="165"/>
      <c r="G127" s="240"/>
      <c r="H127" s="241"/>
      <c r="I127" s="156"/>
    </row>
    <row r="128" spans="1:9" ht="16.5" thickBot="1" thickTop="1">
      <c r="A128" s="173" t="s">
        <v>14</v>
      </c>
      <c r="B128" s="174"/>
      <c r="C128" s="227">
        <f>SUM(C115:C127)</f>
        <v>1038189727.85</v>
      </c>
      <c r="D128" s="229">
        <f>SUM(D115:D127)</f>
        <v>103156370.5</v>
      </c>
      <c r="E128" s="270">
        <f>SUM(E115:E127)</f>
        <v>133577462.35</v>
      </c>
      <c r="F128" s="175">
        <f>(+D128-E128)/E128</f>
        <v>-0.22774120210706336</v>
      </c>
      <c r="G128" s="248">
        <f>D128/C128</f>
        <v>0.0993617714881728</v>
      </c>
      <c r="H128" s="269">
        <f>1-G128</f>
        <v>0.9006382285118272</v>
      </c>
      <c r="I128" s="156"/>
    </row>
    <row r="129" spans="1:9" ht="15" thickTop="1">
      <c r="A129" s="166"/>
      <c r="B129" s="178"/>
      <c r="C129" s="228"/>
      <c r="D129" s="228"/>
      <c r="E129" s="228"/>
      <c r="F129" s="179"/>
      <c r="G129" s="246"/>
      <c r="H129" s="247"/>
      <c r="I129" s="156"/>
    </row>
    <row r="130" spans="1:9" ht="15">
      <c r="A130" s="163" t="s">
        <v>18</v>
      </c>
      <c r="B130" s="164">
        <f>DATE(19,7,1)</f>
        <v>7122</v>
      </c>
      <c r="C130" s="225">
        <v>139620069.69</v>
      </c>
      <c r="D130" s="225">
        <v>13562944.54</v>
      </c>
      <c r="E130" s="225">
        <v>14899456.87</v>
      </c>
      <c r="F130" s="165">
        <f aca="true" t="shared" si="24" ref="F130:F141">(+D130-E130)/E130</f>
        <v>-0.08970208388542422</v>
      </c>
      <c r="G130" s="240">
        <f aca="true" t="shared" si="25" ref="G130:G138">D130/C130</f>
        <v>0.09714179752319245</v>
      </c>
      <c r="H130" s="241">
        <f aca="true" t="shared" si="26" ref="H130:H138">1-G130</f>
        <v>0.9028582024768076</v>
      </c>
      <c r="I130" s="156"/>
    </row>
    <row r="131" spans="1:9" ht="15">
      <c r="A131" s="163"/>
      <c r="B131" s="164">
        <f>DATE(19,8,1)</f>
        <v>7153</v>
      </c>
      <c r="C131" s="225">
        <v>145301923.24</v>
      </c>
      <c r="D131" s="225">
        <v>13870661.28</v>
      </c>
      <c r="E131" s="225">
        <v>14829432.53</v>
      </c>
      <c r="F131" s="165">
        <f t="shared" si="24"/>
        <v>-0.06465326627033112</v>
      </c>
      <c r="G131" s="240">
        <f t="shared" si="25"/>
        <v>0.0954609613603625</v>
      </c>
      <c r="H131" s="241">
        <f t="shared" si="26"/>
        <v>0.9045390386396375</v>
      </c>
      <c r="I131" s="156"/>
    </row>
    <row r="132" spans="1:9" ht="15">
      <c r="A132" s="163"/>
      <c r="B132" s="164">
        <f>DATE(19,9,1)</f>
        <v>7184</v>
      </c>
      <c r="C132" s="225">
        <v>133117656.17</v>
      </c>
      <c r="D132" s="225">
        <v>12786419.43</v>
      </c>
      <c r="E132" s="225">
        <v>13962276.2</v>
      </c>
      <c r="F132" s="165">
        <f t="shared" si="24"/>
        <v>-0.08421669598542962</v>
      </c>
      <c r="G132" s="240">
        <f t="shared" si="25"/>
        <v>0.0960535198551791</v>
      </c>
      <c r="H132" s="241">
        <f t="shared" si="26"/>
        <v>0.9039464801448209</v>
      </c>
      <c r="I132" s="156"/>
    </row>
    <row r="133" spans="1:9" ht="15">
      <c r="A133" s="163"/>
      <c r="B133" s="164">
        <f>DATE(19,10,1)</f>
        <v>7214</v>
      </c>
      <c r="C133" s="225">
        <v>141018208.87</v>
      </c>
      <c r="D133" s="225">
        <v>13251508.66</v>
      </c>
      <c r="E133" s="225">
        <v>13179828.55</v>
      </c>
      <c r="F133" s="165">
        <f t="shared" si="24"/>
        <v>0.005438622340804228</v>
      </c>
      <c r="G133" s="240">
        <f t="shared" si="25"/>
        <v>0.09397019552429661</v>
      </c>
      <c r="H133" s="241">
        <f t="shared" si="26"/>
        <v>0.9060298044757034</v>
      </c>
      <c r="I133" s="156"/>
    </row>
    <row r="134" spans="1:9" ht="15">
      <c r="A134" s="163"/>
      <c r="B134" s="164">
        <f>DATE(19,11,1)</f>
        <v>7245</v>
      </c>
      <c r="C134" s="225">
        <v>143268625.12</v>
      </c>
      <c r="D134" s="225">
        <v>13769145.8</v>
      </c>
      <c r="E134" s="225">
        <v>12404366.57</v>
      </c>
      <c r="F134" s="165">
        <f t="shared" si="24"/>
        <v>0.1100240969418562</v>
      </c>
      <c r="G134" s="240">
        <f t="shared" si="25"/>
        <v>0.09610719575529629</v>
      </c>
      <c r="H134" s="241">
        <f t="shared" si="26"/>
        <v>0.9038928042447038</v>
      </c>
      <c r="I134" s="156"/>
    </row>
    <row r="135" spans="1:9" ht="15">
      <c r="A135" s="163"/>
      <c r="B135" s="164">
        <f>DATE(19,12,1)</f>
        <v>7275</v>
      </c>
      <c r="C135" s="225">
        <v>148416907.9</v>
      </c>
      <c r="D135" s="225">
        <v>13980639.65</v>
      </c>
      <c r="E135" s="225">
        <v>14279714.56</v>
      </c>
      <c r="F135" s="165">
        <f t="shared" si="24"/>
        <v>-0.020944039794588174</v>
      </c>
      <c r="G135" s="240">
        <f t="shared" si="25"/>
        <v>0.0941984295981954</v>
      </c>
      <c r="H135" s="241">
        <f t="shared" si="26"/>
        <v>0.9058015704018046</v>
      </c>
      <c r="I135" s="156"/>
    </row>
    <row r="136" spans="1:9" ht="15">
      <c r="A136" s="163"/>
      <c r="B136" s="164">
        <f>DATE(20,1,1)</f>
        <v>7306</v>
      </c>
      <c r="C136" s="225">
        <v>130743401.33</v>
      </c>
      <c r="D136" s="225">
        <v>12433682.39</v>
      </c>
      <c r="E136" s="225">
        <v>12070419.86</v>
      </c>
      <c r="F136" s="165">
        <f t="shared" si="24"/>
        <v>0.0300952687821417</v>
      </c>
      <c r="G136" s="240">
        <f t="shared" si="25"/>
        <v>0.09509988468647101</v>
      </c>
      <c r="H136" s="241">
        <f t="shared" si="26"/>
        <v>0.904900115313529</v>
      </c>
      <c r="I136" s="156"/>
    </row>
    <row r="137" spans="1:9" ht="15">
      <c r="A137" s="163"/>
      <c r="B137" s="164">
        <f>DATE(20,2,1)</f>
        <v>7337</v>
      </c>
      <c r="C137" s="225">
        <v>147966898.25</v>
      </c>
      <c r="D137" s="225">
        <v>14388741.64</v>
      </c>
      <c r="E137" s="225">
        <v>12585263.32</v>
      </c>
      <c r="F137" s="165">
        <f t="shared" si="24"/>
        <v>0.14330080143289367</v>
      </c>
      <c r="G137" s="240">
        <f t="shared" si="25"/>
        <v>0.09724297670746099</v>
      </c>
      <c r="H137" s="241">
        <f t="shared" si="26"/>
        <v>0.902757023292539</v>
      </c>
      <c r="I137" s="156"/>
    </row>
    <row r="138" spans="1:9" ht="15">
      <c r="A138" s="163"/>
      <c r="B138" s="164">
        <f>DATE(20,3,1)</f>
        <v>7366</v>
      </c>
      <c r="C138" s="225">
        <v>72434334.44</v>
      </c>
      <c r="D138" s="225">
        <v>7191924.87</v>
      </c>
      <c r="E138" s="225">
        <v>15794237.7</v>
      </c>
      <c r="F138" s="165">
        <f t="shared" si="24"/>
        <v>-0.5446488139152166</v>
      </c>
      <c r="G138" s="240">
        <f t="shared" si="25"/>
        <v>0.0992888928379308</v>
      </c>
      <c r="H138" s="241">
        <f t="shared" si="26"/>
        <v>0.9007111071620693</v>
      </c>
      <c r="I138" s="156"/>
    </row>
    <row r="139" spans="1:9" ht="15">
      <c r="A139" s="163"/>
      <c r="B139" s="164">
        <f>DATE(20,4,1)</f>
        <v>7397</v>
      </c>
      <c r="C139" s="225">
        <v>0</v>
      </c>
      <c r="D139" s="225">
        <v>0</v>
      </c>
      <c r="E139" s="225">
        <v>13446875.85</v>
      </c>
      <c r="F139" s="165">
        <f t="shared" si="24"/>
        <v>-1</v>
      </c>
      <c r="G139" s="240">
        <v>0</v>
      </c>
      <c r="H139" s="241">
        <v>0</v>
      </c>
      <c r="I139" s="156"/>
    </row>
    <row r="140" spans="1:9" ht="15">
      <c r="A140" s="163"/>
      <c r="B140" s="164">
        <f>DATE(20,5,1)</f>
        <v>7427</v>
      </c>
      <c r="C140" s="225">
        <v>0</v>
      </c>
      <c r="D140" s="225">
        <v>0</v>
      </c>
      <c r="E140" s="225">
        <v>14014029.96</v>
      </c>
      <c r="F140" s="165">
        <f t="shared" si="24"/>
        <v>-1</v>
      </c>
      <c r="G140" s="240">
        <v>0</v>
      </c>
      <c r="H140" s="241">
        <v>0</v>
      </c>
      <c r="I140" s="156"/>
    </row>
    <row r="141" spans="1:9" ht="15">
      <c r="A141" s="163"/>
      <c r="B141" s="164">
        <v>44002</v>
      </c>
      <c r="C141" s="225">
        <v>112204937.08</v>
      </c>
      <c r="D141" s="225">
        <v>10791006.13</v>
      </c>
      <c r="E141" s="225">
        <v>13442309.91</v>
      </c>
      <c r="F141" s="165">
        <f t="shared" si="24"/>
        <v>-0.1972357279181342</v>
      </c>
      <c r="G141" s="240">
        <f>D141/C141</f>
        <v>0.09617229340190457</v>
      </c>
      <c r="H141" s="241">
        <f>1-G141</f>
        <v>0.9038277065980954</v>
      </c>
      <c r="I141" s="156"/>
    </row>
    <row r="142" spans="1:9" ht="15.75" customHeight="1" thickBot="1">
      <c r="A142" s="163"/>
      <c r="B142" s="164"/>
      <c r="C142" s="225"/>
      <c r="D142" s="225"/>
      <c r="E142" s="225"/>
      <c r="F142" s="165"/>
      <c r="G142" s="240"/>
      <c r="H142" s="241"/>
      <c r="I142" s="156"/>
    </row>
    <row r="143" spans="1:9" ht="16.5" thickBot="1" thickTop="1">
      <c r="A143" s="173" t="s">
        <v>14</v>
      </c>
      <c r="B143" s="180"/>
      <c r="C143" s="227">
        <f>SUM(C130:C142)</f>
        <v>1314092962.0900002</v>
      </c>
      <c r="D143" s="227">
        <f>SUM(D130:D142)</f>
        <v>126026674.39</v>
      </c>
      <c r="E143" s="227">
        <f>SUM(E130:E142)</f>
        <v>164908211.88000003</v>
      </c>
      <c r="F143" s="175">
        <f>(+D143-E143)/E143</f>
        <v>-0.23577684244307517</v>
      </c>
      <c r="G143" s="244">
        <f>D143/C143</f>
        <v>0.09590392614960876</v>
      </c>
      <c r="H143" s="245">
        <f>1-G143</f>
        <v>0.9040960738503913</v>
      </c>
      <c r="I143" s="156"/>
    </row>
    <row r="144" spans="1:9" ht="15" thickTop="1">
      <c r="A144" s="170"/>
      <c r="B144" s="171"/>
      <c r="C144" s="226"/>
      <c r="D144" s="226"/>
      <c r="E144" s="226"/>
      <c r="F144" s="172"/>
      <c r="G144" s="242"/>
      <c r="H144" s="243"/>
      <c r="I144" s="156"/>
    </row>
    <row r="145" spans="1:9" ht="15">
      <c r="A145" s="163" t="s">
        <v>58</v>
      </c>
      <c r="B145" s="164">
        <f>DATE(19,7,1)</f>
        <v>7122</v>
      </c>
      <c r="C145" s="225">
        <v>172895652.1</v>
      </c>
      <c r="D145" s="225">
        <v>16249508.9</v>
      </c>
      <c r="E145" s="225">
        <v>16699225.8</v>
      </c>
      <c r="F145" s="165">
        <f aca="true" t="shared" si="27" ref="F145:F156">(+D145-E145)/E145</f>
        <v>-0.026930404162808574</v>
      </c>
      <c r="G145" s="240">
        <f aca="true" t="shared" si="28" ref="G145:G153">D145/C145</f>
        <v>0.09398448545485431</v>
      </c>
      <c r="H145" s="241">
        <f aca="true" t="shared" si="29" ref="H145:H153">1-G145</f>
        <v>0.9060155145451457</v>
      </c>
      <c r="I145" s="156"/>
    </row>
    <row r="146" spans="1:9" ht="15">
      <c r="A146" s="163"/>
      <c r="B146" s="164">
        <f>DATE(19,8,1)</f>
        <v>7153</v>
      </c>
      <c r="C146" s="225">
        <v>180380059.75</v>
      </c>
      <c r="D146" s="225">
        <v>16871517.8</v>
      </c>
      <c r="E146" s="225">
        <v>16622760.62</v>
      </c>
      <c r="F146" s="165">
        <f t="shared" si="27"/>
        <v>0.014964853653773038</v>
      </c>
      <c r="G146" s="240">
        <f t="shared" si="28"/>
        <v>0.09353316449380986</v>
      </c>
      <c r="H146" s="241">
        <f t="shared" si="29"/>
        <v>0.9064668355061901</v>
      </c>
      <c r="I146" s="156"/>
    </row>
    <row r="147" spans="1:9" ht="15">
      <c r="A147" s="163"/>
      <c r="B147" s="164">
        <f>DATE(19,9,1)</f>
        <v>7184</v>
      </c>
      <c r="C147" s="225">
        <v>169452200.2</v>
      </c>
      <c r="D147" s="225">
        <v>15944541.3</v>
      </c>
      <c r="E147" s="225">
        <v>16260476.05</v>
      </c>
      <c r="F147" s="165">
        <f t="shared" si="27"/>
        <v>-0.019429612578901096</v>
      </c>
      <c r="G147" s="240">
        <f t="shared" si="28"/>
        <v>0.09409462539395226</v>
      </c>
      <c r="H147" s="241">
        <f t="shared" si="29"/>
        <v>0.9059053746060477</v>
      </c>
      <c r="I147" s="156"/>
    </row>
    <row r="148" spans="1:9" ht="15">
      <c r="A148" s="163"/>
      <c r="B148" s="164">
        <f>DATE(19,10,1)</f>
        <v>7214</v>
      </c>
      <c r="C148" s="225">
        <v>171753334.46</v>
      </c>
      <c r="D148" s="225">
        <v>16080736.01</v>
      </c>
      <c r="E148" s="225">
        <v>15649969.25</v>
      </c>
      <c r="F148" s="165">
        <f t="shared" si="27"/>
        <v>0.02752508667069744</v>
      </c>
      <c r="G148" s="240">
        <f t="shared" si="28"/>
        <v>0.09362692177452354</v>
      </c>
      <c r="H148" s="241">
        <f t="shared" si="29"/>
        <v>0.9063730782254764</v>
      </c>
      <c r="I148" s="156"/>
    </row>
    <row r="149" spans="1:9" ht="15">
      <c r="A149" s="163"/>
      <c r="B149" s="164">
        <f>DATE(19,11,1)</f>
        <v>7245</v>
      </c>
      <c r="C149" s="225">
        <v>179944712.21</v>
      </c>
      <c r="D149" s="225">
        <v>17058482.91</v>
      </c>
      <c r="E149" s="225">
        <v>15252914.51</v>
      </c>
      <c r="F149" s="165">
        <f t="shared" si="27"/>
        <v>0.1183753045240139</v>
      </c>
      <c r="G149" s="240">
        <f t="shared" si="28"/>
        <v>0.09479846726528046</v>
      </c>
      <c r="H149" s="241">
        <f t="shared" si="29"/>
        <v>0.9052015327347196</v>
      </c>
      <c r="I149" s="156"/>
    </row>
    <row r="150" spans="1:9" ht="15">
      <c r="A150" s="163"/>
      <c r="B150" s="164">
        <f>DATE(19,12,1)</f>
        <v>7275</v>
      </c>
      <c r="C150" s="225">
        <v>179257574.59</v>
      </c>
      <c r="D150" s="225">
        <v>16970606.43</v>
      </c>
      <c r="E150" s="225">
        <v>17347128.27</v>
      </c>
      <c r="F150" s="165">
        <f t="shared" si="27"/>
        <v>-0.021705139556220037</v>
      </c>
      <c r="G150" s="240">
        <f t="shared" si="28"/>
        <v>0.09467162806824407</v>
      </c>
      <c r="H150" s="241">
        <f t="shared" si="29"/>
        <v>0.905328371931756</v>
      </c>
      <c r="I150" s="156"/>
    </row>
    <row r="151" spans="1:9" ht="15">
      <c r="A151" s="163"/>
      <c r="B151" s="164">
        <f>DATE(20,1,1)</f>
        <v>7306</v>
      </c>
      <c r="C151" s="225">
        <v>173290650.85</v>
      </c>
      <c r="D151" s="225">
        <v>16027792.04</v>
      </c>
      <c r="E151" s="225">
        <v>13808864.72</v>
      </c>
      <c r="F151" s="165">
        <f t="shared" si="27"/>
        <v>0.16068861307521</v>
      </c>
      <c r="G151" s="240">
        <f t="shared" si="28"/>
        <v>0.09249080640751717</v>
      </c>
      <c r="H151" s="241">
        <f t="shared" si="29"/>
        <v>0.9075091935924828</v>
      </c>
      <c r="I151" s="156"/>
    </row>
    <row r="152" spans="1:9" ht="15">
      <c r="A152" s="163"/>
      <c r="B152" s="164">
        <f>DATE(20,2,1)</f>
        <v>7337</v>
      </c>
      <c r="C152" s="225">
        <v>182267872.56</v>
      </c>
      <c r="D152" s="225">
        <v>16606333.47</v>
      </c>
      <c r="E152" s="225">
        <v>14872520.16</v>
      </c>
      <c r="F152" s="165">
        <f t="shared" si="27"/>
        <v>0.11657831297906948</v>
      </c>
      <c r="G152" s="240">
        <f t="shared" si="28"/>
        <v>0.09110949305963634</v>
      </c>
      <c r="H152" s="241">
        <f t="shared" si="29"/>
        <v>0.9088905069403637</v>
      </c>
      <c r="I152" s="156"/>
    </row>
    <row r="153" spans="1:9" ht="15">
      <c r="A153" s="163"/>
      <c r="B153" s="164">
        <f>DATE(20,3,1)</f>
        <v>7366</v>
      </c>
      <c r="C153" s="225">
        <v>86650244.75</v>
      </c>
      <c r="D153" s="225">
        <v>8278891.34</v>
      </c>
      <c r="E153" s="225">
        <v>18016167.01</v>
      </c>
      <c r="F153" s="165">
        <f t="shared" si="27"/>
        <v>-0.5404743231229627</v>
      </c>
      <c r="G153" s="240">
        <f t="shared" si="28"/>
        <v>0.09554377329095773</v>
      </c>
      <c r="H153" s="241">
        <f t="shared" si="29"/>
        <v>0.9044562267090422</v>
      </c>
      <c r="I153" s="156"/>
    </row>
    <row r="154" spans="1:9" ht="15">
      <c r="A154" s="163"/>
      <c r="B154" s="164">
        <f>DATE(20,4,1)</f>
        <v>7397</v>
      </c>
      <c r="C154" s="225">
        <v>0</v>
      </c>
      <c r="D154" s="225">
        <v>0</v>
      </c>
      <c r="E154" s="225">
        <v>15376348.85</v>
      </c>
      <c r="F154" s="165">
        <f t="shared" si="27"/>
        <v>-1</v>
      </c>
      <c r="G154" s="240">
        <v>0</v>
      </c>
      <c r="H154" s="241">
        <v>0</v>
      </c>
      <c r="I154" s="156"/>
    </row>
    <row r="155" spans="1:9" ht="15">
      <c r="A155" s="163"/>
      <c r="B155" s="164">
        <f>DATE(20,5,1)</f>
        <v>7427</v>
      </c>
      <c r="C155" s="225">
        <v>0</v>
      </c>
      <c r="D155" s="225">
        <v>0</v>
      </c>
      <c r="E155" s="225">
        <v>15682535.5</v>
      </c>
      <c r="F155" s="165">
        <f t="shared" si="27"/>
        <v>-1</v>
      </c>
      <c r="G155" s="240">
        <v>0</v>
      </c>
      <c r="H155" s="241">
        <v>0</v>
      </c>
      <c r="I155" s="156"/>
    </row>
    <row r="156" spans="1:9" ht="15">
      <c r="A156" s="163"/>
      <c r="B156" s="164">
        <v>44002</v>
      </c>
      <c r="C156" s="225">
        <v>78461531.96</v>
      </c>
      <c r="D156" s="225">
        <v>7327922.54</v>
      </c>
      <c r="E156" s="225">
        <v>14443332.6</v>
      </c>
      <c r="F156" s="165">
        <f t="shared" si="27"/>
        <v>-0.4926432324905403</v>
      </c>
      <c r="G156" s="240">
        <f>D156/C156</f>
        <v>0.09339509893505271</v>
      </c>
      <c r="H156" s="241">
        <f>1-G156</f>
        <v>0.9066049010649473</v>
      </c>
      <c r="I156" s="156"/>
    </row>
    <row r="157" spans="1:9" ht="15" thickBot="1">
      <c r="A157" s="166"/>
      <c r="B157" s="167"/>
      <c r="C157" s="225"/>
      <c r="D157" s="225"/>
      <c r="E157" s="225"/>
      <c r="F157" s="165"/>
      <c r="G157" s="240"/>
      <c r="H157" s="241"/>
      <c r="I157" s="156"/>
    </row>
    <row r="158" spans="1:9" ht="16.5" thickBot="1" thickTop="1">
      <c r="A158" s="173" t="s">
        <v>14</v>
      </c>
      <c r="B158" s="174"/>
      <c r="C158" s="227">
        <f>SUM(C145:C157)</f>
        <v>1574353833.43</v>
      </c>
      <c r="D158" s="227">
        <f>SUM(D145:D157)</f>
        <v>147416332.73999998</v>
      </c>
      <c r="E158" s="227">
        <f>SUM(E145:E157)</f>
        <v>190032243.33999997</v>
      </c>
      <c r="F158" s="175">
        <f>(+D158-E158)/E158</f>
        <v>-0.22425620963571372</v>
      </c>
      <c r="G158" s="248">
        <f>D158/C158</f>
        <v>0.09363608714238539</v>
      </c>
      <c r="H158" s="269">
        <f>1-G158</f>
        <v>0.9063639128576146</v>
      </c>
      <c r="I158" s="156"/>
    </row>
    <row r="159" spans="1:9" ht="15" thickTop="1">
      <c r="A159" s="166"/>
      <c r="B159" s="167"/>
      <c r="C159" s="225"/>
      <c r="D159" s="225"/>
      <c r="E159" s="225"/>
      <c r="F159" s="165"/>
      <c r="G159" s="240"/>
      <c r="H159" s="241"/>
      <c r="I159" s="156"/>
    </row>
    <row r="160" spans="1:9" ht="15">
      <c r="A160" s="163" t="s">
        <v>59</v>
      </c>
      <c r="B160" s="164">
        <f>DATE(19,7,1)</f>
        <v>7122</v>
      </c>
      <c r="C160" s="225">
        <v>23534671.4</v>
      </c>
      <c r="D160" s="225">
        <v>2612988.94</v>
      </c>
      <c r="E160" s="225">
        <v>2665233.29</v>
      </c>
      <c r="F160" s="165">
        <f aca="true" t="shared" si="30" ref="F160:F171">(+D160-E160)/E160</f>
        <v>-0.01960216773369212</v>
      </c>
      <c r="G160" s="240">
        <f aca="true" t="shared" si="31" ref="G160:G168">D160/C160</f>
        <v>0.11102721153778251</v>
      </c>
      <c r="H160" s="241">
        <f aca="true" t="shared" si="32" ref="H160:H168">1-G160</f>
        <v>0.8889727884622175</v>
      </c>
      <c r="I160" s="156"/>
    </row>
    <row r="161" spans="1:9" ht="15">
      <c r="A161" s="163"/>
      <c r="B161" s="164">
        <f>DATE(19,8,1)</f>
        <v>7153</v>
      </c>
      <c r="C161" s="225">
        <v>25945368.86</v>
      </c>
      <c r="D161" s="225">
        <v>2826240.12</v>
      </c>
      <c r="E161" s="225">
        <v>2551392.61</v>
      </c>
      <c r="F161" s="165">
        <f t="shared" si="30"/>
        <v>0.10772450657838985</v>
      </c>
      <c r="G161" s="240">
        <f t="shared" si="31"/>
        <v>0.10893042743968143</v>
      </c>
      <c r="H161" s="241">
        <f t="shared" si="32"/>
        <v>0.8910695725603186</v>
      </c>
      <c r="I161" s="156"/>
    </row>
    <row r="162" spans="1:9" ht="15">
      <c r="A162" s="163"/>
      <c r="B162" s="164">
        <f>DATE(19,9,1)</f>
        <v>7184</v>
      </c>
      <c r="C162" s="225">
        <v>23331556.44</v>
      </c>
      <c r="D162" s="225">
        <v>2549839.52</v>
      </c>
      <c r="E162" s="225">
        <v>2483855.77</v>
      </c>
      <c r="F162" s="165">
        <f t="shared" si="30"/>
        <v>0.026565048903785585</v>
      </c>
      <c r="G162" s="240">
        <f t="shared" si="31"/>
        <v>0.10928715906961584</v>
      </c>
      <c r="H162" s="241">
        <f t="shared" si="32"/>
        <v>0.8907128409303842</v>
      </c>
      <c r="I162" s="156"/>
    </row>
    <row r="163" spans="1:9" ht="15">
      <c r="A163" s="163"/>
      <c r="B163" s="164">
        <f>DATE(19,10,1)</f>
        <v>7214</v>
      </c>
      <c r="C163" s="225">
        <v>23351338.11</v>
      </c>
      <c r="D163" s="225">
        <v>2654170.68</v>
      </c>
      <c r="E163" s="225">
        <v>2351894.38</v>
      </c>
      <c r="F163" s="165">
        <f t="shared" si="30"/>
        <v>0.12852460661945214</v>
      </c>
      <c r="G163" s="240">
        <f t="shared" si="31"/>
        <v>0.1136624662576992</v>
      </c>
      <c r="H163" s="241">
        <f t="shared" si="32"/>
        <v>0.8863375337423008</v>
      </c>
      <c r="I163" s="156"/>
    </row>
    <row r="164" spans="1:9" ht="15">
      <c r="A164" s="163"/>
      <c r="B164" s="164">
        <f>DATE(19,11,1)</f>
        <v>7245</v>
      </c>
      <c r="C164" s="225">
        <v>24764224.17</v>
      </c>
      <c r="D164" s="225">
        <v>2750246.46</v>
      </c>
      <c r="E164" s="225">
        <v>2270138.19</v>
      </c>
      <c r="F164" s="165">
        <f t="shared" si="30"/>
        <v>0.21148856581281514</v>
      </c>
      <c r="G164" s="240">
        <f t="shared" si="31"/>
        <v>0.11105724294531774</v>
      </c>
      <c r="H164" s="241">
        <f t="shared" si="32"/>
        <v>0.8889427570546823</v>
      </c>
      <c r="I164" s="156"/>
    </row>
    <row r="165" spans="1:9" ht="15">
      <c r="A165" s="163"/>
      <c r="B165" s="164">
        <f>DATE(19,12,1)</f>
        <v>7275</v>
      </c>
      <c r="C165" s="225">
        <v>24233154.1</v>
      </c>
      <c r="D165" s="225">
        <v>2678793.62</v>
      </c>
      <c r="E165" s="225">
        <v>2456280.23</v>
      </c>
      <c r="F165" s="165">
        <f t="shared" si="30"/>
        <v>0.09058957820948635</v>
      </c>
      <c r="G165" s="240">
        <f t="shared" si="31"/>
        <v>0.11054250754754207</v>
      </c>
      <c r="H165" s="241">
        <f t="shared" si="32"/>
        <v>0.889457492452458</v>
      </c>
      <c r="I165" s="156"/>
    </row>
    <row r="166" spans="1:9" ht="15">
      <c r="A166" s="163"/>
      <c r="B166" s="164">
        <f>DATE(20,1,1)</f>
        <v>7306</v>
      </c>
      <c r="C166" s="225">
        <v>21836098.89</v>
      </c>
      <c r="D166" s="225">
        <v>2358042.3</v>
      </c>
      <c r="E166" s="225">
        <v>1907536.47</v>
      </c>
      <c r="F166" s="165">
        <f t="shared" si="30"/>
        <v>0.23617154224055273</v>
      </c>
      <c r="G166" s="240">
        <f t="shared" si="31"/>
        <v>0.1079882588862923</v>
      </c>
      <c r="H166" s="241">
        <f t="shared" si="32"/>
        <v>0.8920117411137077</v>
      </c>
      <c r="I166" s="156"/>
    </row>
    <row r="167" spans="1:9" ht="15">
      <c r="A167" s="163"/>
      <c r="B167" s="164">
        <f>DATE(20,2,1)</f>
        <v>7337</v>
      </c>
      <c r="C167" s="225">
        <v>25660297.42</v>
      </c>
      <c r="D167" s="225">
        <v>2851642.94</v>
      </c>
      <c r="E167" s="225">
        <v>2252695.42</v>
      </c>
      <c r="F167" s="165">
        <f t="shared" si="30"/>
        <v>0.2658803825330279</v>
      </c>
      <c r="G167" s="240">
        <f t="shared" si="31"/>
        <v>0.11113054900826631</v>
      </c>
      <c r="H167" s="241">
        <f t="shared" si="32"/>
        <v>0.8888694509917336</v>
      </c>
      <c r="I167" s="156"/>
    </row>
    <row r="168" spans="1:9" ht="15">
      <c r="A168" s="163"/>
      <c r="B168" s="164">
        <f>DATE(20,3,1)</f>
        <v>7366</v>
      </c>
      <c r="C168" s="225">
        <v>14797939.09</v>
      </c>
      <c r="D168" s="225">
        <v>1714094.06</v>
      </c>
      <c r="E168" s="225">
        <v>2891984.6</v>
      </c>
      <c r="F168" s="165">
        <f t="shared" si="30"/>
        <v>-0.40729488670167885</v>
      </c>
      <c r="G168" s="240">
        <f t="shared" si="31"/>
        <v>0.11583329608096124</v>
      </c>
      <c r="H168" s="241">
        <f t="shared" si="32"/>
        <v>0.8841667039190387</v>
      </c>
      <c r="I168" s="156"/>
    </row>
    <row r="169" spans="1:9" ht="15">
      <c r="A169" s="163"/>
      <c r="B169" s="164">
        <f>DATE(20,4,1)</f>
        <v>7397</v>
      </c>
      <c r="C169" s="225">
        <v>0</v>
      </c>
      <c r="D169" s="225">
        <v>0</v>
      </c>
      <c r="E169" s="225">
        <v>2403144.29</v>
      </c>
      <c r="F169" s="165">
        <f t="shared" si="30"/>
        <v>-1</v>
      </c>
      <c r="G169" s="240">
        <v>0</v>
      </c>
      <c r="H169" s="241">
        <v>0</v>
      </c>
      <c r="I169" s="156"/>
    </row>
    <row r="170" spans="1:9" ht="15">
      <c r="A170" s="163"/>
      <c r="B170" s="164">
        <f>DATE(20,5,1)</f>
        <v>7427</v>
      </c>
      <c r="C170" s="225">
        <v>0</v>
      </c>
      <c r="D170" s="225">
        <v>0</v>
      </c>
      <c r="E170" s="225">
        <v>2355264.66</v>
      </c>
      <c r="F170" s="165">
        <f t="shared" si="30"/>
        <v>-1</v>
      </c>
      <c r="G170" s="240">
        <v>0</v>
      </c>
      <c r="H170" s="241">
        <v>0</v>
      </c>
      <c r="I170" s="156"/>
    </row>
    <row r="171" spans="1:9" ht="15">
      <c r="A171" s="163"/>
      <c r="B171" s="164">
        <v>44002</v>
      </c>
      <c r="C171" s="225">
        <v>27756698.59</v>
      </c>
      <c r="D171" s="225">
        <v>3039355.41</v>
      </c>
      <c r="E171" s="225">
        <v>2467327.59</v>
      </c>
      <c r="F171" s="165">
        <f t="shared" si="30"/>
        <v>0.23184105034062394</v>
      </c>
      <c r="G171" s="240">
        <f>D171/C171</f>
        <v>0.1094998888338615</v>
      </c>
      <c r="H171" s="241">
        <f>1-G171</f>
        <v>0.8905001111661385</v>
      </c>
      <c r="I171" s="156"/>
    </row>
    <row r="172" spans="1:9" ht="15" thickBot="1">
      <c r="A172" s="166"/>
      <c r="B172" s="167"/>
      <c r="C172" s="225"/>
      <c r="D172" s="225"/>
      <c r="E172" s="225"/>
      <c r="F172" s="165"/>
      <c r="G172" s="240"/>
      <c r="H172" s="241"/>
      <c r="I172" s="156"/>
    </row>
    <row r="173" spans="1:9" ht="16.5" thickBot="1" thickTop="1">
      <c r="A173" s="181" t="s">
        <v>14</v>
      </c>
      <c r="B173" s="182"/>
      <c r="C173" s="229">
        <f>SUM(C160:C172)</f>
        <v>235211347.07000005</v>
      </c>
      <c r="D173" s="229">
        <f>SUM(D160:D172)</f>
        <v>26035414.05</v>
      </c>
      <c r="E173" s="229">
        <f>SUM(E160:E172)</f>
        <v>29056747.5</v>
      </c>
      <c r="F173" s="175">
        <f>(+D173-E173)/E173</f>
        <v>-0.10398044206427437</v>
      </c>
      <c r="G173" s="248">
        <f>D173/C173</f>
        <v>0.1106894474876322</v>
      </c>
      <c r="H173" s="245">
        <f>1-G173</f>
        <v>0.8893105525123678</v>
      </c>
      <c r="I173" s="156"/>
    </row>
    <row r="174" spans="1:9" ht="15" thickTop="1">
      <c r="A174" s="166"/>
      <c r="B174" s="167"/>
      <c r="C174" s="225"/>
      <c r="D174" s="225"/>
      <c r="E174" s="225"/>
      <c r="F174" s="165"/>
      <c r="G174" s="240"/>
      <c r="H174" s="241"/>
      <c r="I174" s="156"/>
    </row>
    <row r="175" spans="1:9" ht="15">
      <c r="A175" s="163" t="s">
        <v>40</v>
      </c>
      <c r="B175" s="164">
        <f>DATE(19,7,1)</f>
        <v>7122</v>
      </c>
      <c r="C175" s="225">
        <v>209413515.11</v>
      </c>
      <c r="D175" s="225">
        <v>19119192.24</v>
      </c>
      <c r="E175" s="225">
        <v>19406302.42</v>
      </c>
      <c r="F175" s="165">
        <f aca="true" t="shared" si="33" ref="F175:F186">(+D175-E175)/E175</f>
        <v>-0.014794687508533808</v>
      </c>
      <c r="G175" s="240">
        <f aca="true" t="shared" si="34" ref="G175:G183">D175/C175</f>
        <v>0.09129875036936912</v>
      </c>
      <c r="H175" s="241">
        <f aca="true" t="shared" si="35" ref="H175:H183">1-G175</f>
        <v>0.9087012496306309</v>
      </c>
      <c r="I175" s="156"/>
    </row>
    <row r="176" spans="1:9" ht="15">
      <c r="A176" s="163"/>
      <c r="B176" s="164">
        <f>DATE(19,8,1)</f>
        <v>7153</v>
      </c>
      <c r="C176" s="225">
        <v>212666539.37</v>
      </c>
      <c r="D176" s="225">
        <v>19394509.94</v>
      </c>
      <c r="E176" s="225">
        <v>19632454.71</v>
      </c>
      <c r="F176" s="165">
        <f t="shared" si="33"/>
        <v>-0.01211997040180614</v>
      </c>
      <c r="G176" s="240">
        <f t="shared" si="34"/>
        <v>0.09119680979177068</v>
      </c>
      <c r="H176" s="241">
        <f t="shared" si="35"/>
        <v>0.9088031902082293</v>
      </c>
      <c r="I176" s="156"/>
    </row>
    <row r="177" spans="1:9" ht="15">
      <c r="A177" s="163"/>
      <c r="B177" s="164">
        <f>DATE(19,9,1)</f>
        <v>7184</v>
      </c>
      <c r="C177" s="225">
        <v>194172445.72</v>
      </c>
      <c r="D177" s="225">
        <v>17543226.64</v>
      </c>
      <c r="E177" s="225">
        <v>18357005.34</v>
      </c>
      <c r="F177" s="165">
        <f t="shared" si="33"/>
        <v>-0.044330689288779125</v>
      </c>
      <c r="G177" s="240">
        <f t="shared" si="34"/>
        <v>0.09034869275580756</v>
      </c>
      <c r="H177" s="241">
        <f t="shared" si="35"/>
        <v>0.9096513072441924</v>
      </c>
      <c r="I177" s="156"/>
    </row>
    <row r="178" spans="1:9" ht="15">
      <c r="A178" s="163"/>
      <c r="B178" s="164">
        <f>DATE(19,10,1)</f>
        <v>7214</v>
      </c>
      <c r="C178" s="225">
        <v>194408213.02</v>
      </c>
      <c r="D178" s="225">
        <v>18312994.41</v>
      </c>
      <c r="E178" s="225">
        <v>17743741.07</v>
      </c>
      <c r="F178" s="165">
        <f t="shared" si="33"/>
        <v>0.032081923296460715</v>
      </c>
      <c r="G178" s="240">
        <f t="shared" si="34"/>
        <v>0.09419866643245173</v>
      </c>
      <c r="H178" s="241">
        <f t="shared" si="35"/>
        <v>0.9058013335675483</v>
      </c>
      <c r="I178" s="156"/>
    </row>
    <row r="179" spans="1:9" ht="15">
      <c r="A179" s="163"/>
      <c r="B179" s="164">
        <f>DATE(19,11,1)</f>
        <v>7245</v>
      </c>
      <c r="C179" s="225">
        <v>194099111.36</v>
      </c>
      <c r="D179" s="225">
        <v>17726569.68</v>
      </c>
      <c r="E179" s="225">
        <v>17751037.91</v>
      </c>
      <c r="F179" s="165">
        <f t="shared" si="33"/>
        <v>-0.0013784112300394748</v>
      </c>
      <c r="G179" s="240">
        <f t="shared" si="34"/>
        <v>0.09132741286549288</v>
      </c>
      <c r="H179" s="241">
        <f t="shared" si="35"/>
        <v>0.9086725871345072</v>
      </c>
      <c r="I179" s="156"/>
    </row>
    <row r="180" spans="1:9" ht="15">
      <c r="A180" s="163"/>
      <c r="B180" s="164">
        <f>DATE(19,12,1)</f>
        <v>7275</v>
      </c>
      <c r="C180" s="225">
        <v>199823652.3</v>
      </c>
      <c r="D180" s="225">
        <v>17987460.18</v>
      </c>
      <c r="E180" s="225">
        <v>19880708.1</v>
      </c>
      <c r="F180" s="165">
        <f t="shared" si="33"/>
        <v>-0.09523040680829682</v>
      </c>
      <c r="G180" s="240">
        <f t="shared" si="34"/>
        <v>0.09001667206540193</v>
      </c>
      <c r="H180" s="241">
        <f t="shared" si="35"/>
        <v>0.9099833279345981</v>
      </c>
      <c r="I180" s="156"/>
    </row>
    <row r="181" spans="1:9" ht="15">
      <c r="A181" s="163"/>
      <c r="B181" s="164">
        <f>DATE(20,1,1)</f>
        <v>7306</v>
      </c>
      <c r="C181" s="225">
        <v>191401212.26</v>
      </c>
      <c r="D181" s="225">
        <v>17177529.2</v>
      </c>
      <c r="E181" s="225">
        <v>15585305.41</v>
      </c>
      <c r="F181" s="165">
        <f t="shared" si="33"/>
        <v>0.10216186004147089</v>
      </c>
      <c r="G181" s="240">
        <f t="shared" si="34"/>
        <v>0.0897461881101672</v>
      </c>
      <c r="H181" s="241">
        <f t="shared" si="35"/>
        <v>0.9102538118898328</v>
      </c>
      <c r="I181" s="156"/>
    </row>
    <row r="182" spans="1:9" ht="15">
      <c r="A182" s="163"/>
      <c r="B182" s="164">
        <f>DATE(20,2,1)</f>
        <v>7337</v>
      </c>
      <c r="C182" s="225">
        <v>196849664.83</v>
      </c>
      <c r="D182" s="225">
        <v>17791352.7</v>
      </c>
      <c r="E182" s="225">
        <v>17148799.08</v>
      </c>
      <c r="F182" s="165">
        <f t="shared" si="33"/>
        <v>0.03746930715104052</v>
      </c>
      <c r="G182" s="240">
        <f t="shared" si="34"/>
        <v>0.09038040636424079</v>
      </c>
      <c r="H182" s="241">
        <f t="shared" si="35"/>
        <v>0.9096195936357592</v>
      </c>
      <c r="I182" s="156"/>
    </row>
    <row r="183" spans="1:9" ht="15">
      <c r="A183" s="163"/>
      <c r="B183" s="164">
        <f>DATE(20,3,1)</f>
        <v>7366</v>
      </c>
      <c r="C183" s="225">
        <v>100240284.52</v>
      </c>
      <c r="D183" s="225">
        <v>9097301.58</v>
      </c>
      <c r="E183" s="225">
        <v>20916752.15</v>
      </c>
      <c r="F183" s="165">
        <f t="shared" si="33"/>
        <v>-0.5650710246619238</v>
      </c>
      <c r="G183" s="240">
        <f t="shared" si="34"/>
        <v>0.0907549457143141</v>
      </c>
      <c r="H183" s="241">
        <f t="shared" si="35"/>
        <v>0.9092450542856859</v>
      </c>
      <c r="I183" s="156"/>
    </row>
    <row r="184" spans="1:9" ht="15">
      <c r="A184" s="163"/>
      <c r="B184" s="164">
        <f>DATE(20,4,1)</f>
        <v>7397</v>
      </c>
      <c r="C184" s="225">
        <v>0</v>
      </c>
      <c r="D184" s="225">
        <v>0</v>
      </c>
      <c r="E184" s="225">
        <v>18972432.55</v>
      </c>
      <c r="F184" s="165">
        <f t="shared" si="33"/>
        <v>-1</v>
      </c>
      <c r="G184" s="240">
        <v>0</v>
      </c>
      <c r="H184" s="241">
        <v>0</v>
      </c>
      <c r="I184" s="156"/>
    </row>
    <row r="185" spans="1:9" ht="15">
      <c r="A185" s="163"/>
      <c r="B185" s="164">
        <f>DATE(20,5,1)</f>
        <v>7427</v>
      </c>
      <c r="C185" s="225">
        <v>0</v>
      </c>
      <c r="D185" s="225">
        <v>0</v>
      </c>
      <c r="E185" s="225">
        <v>19794771.41</v>
      </c>
      <c r="F185" s="165">
        <f t="shared" si="33"/>
        <v>-1</v>
      </c>
      <c r="G185" s="240">
        <v>0</v>
      </c>
      <c r="H185" s="241">
        <v>0</v>
      </c>
      <c r="I185" s="156"/>
    </row>
    <row r="186" spans="1:9" ht="15">
      <c r="A186" s="163"/>
      <c r="B186" s="164">
        <v>44002</v>
      </c>
      <c r="C186" s="225">
        <v>239707309.66</v>
      </c>
      <c r="D186" s="225">
        <v>22897835.48</v>
      </c>
      <c r="E186" s="225">
        <v>19315093.58</v>
      </c>
      <c r="F186" s="165">
        <f t="shared" si="33"/>
        <v>0.18548923333769335</v>
      </c>
      <c r="G186" s="240">
        <f>D186/C186</f>
        <v>0.09552414364200328</v>
      </c>
      <c r="H186" s="241">
        <f>1-G186</f>
        <v>0.9044758563579968</v>
      </c>
      <c r="I186" s="156"/>
    </row>
    <row r="187" spans="1:9" ht="15" thickBot="1">
      <c r="A187" s="166"/>
      <c r="B187" s="167"/>
      <c r="C187" s="225"/>
      <c r="D187" s="225"/>
      <c r="E187" s="225"/>
      <c r="F187" s="165"/>
      <c r="G187" s="240"/>
      <c r="H187" s="241"/>
      <c r="I187" s="156"/>
    </row>
    <row r="188" spans="1:9" ht="16.5" thickBot="1" thickTop="1">
      <c r="A188" s="173" t="s">
        <v>14</v>
      </c>
      <c r="B188" s="174"/>
      <c r="C188" s="227">
        <f>SUM(C175:C187)</f>
        <v>1932781948.15</v>
      </c>
      <c r="D188" s="227">
        <f>SUM(D175:D187)</f>
        <v>177047972.05</v>
      </c>
      <c r="E188" s="227">
        <f>SUM(E175:E187)</f>
        <v>224504403.72999996</v>
      </c>
      <c r="F188" s="175">
        <f>(+D188-E188)/E188</f>
        <v>-0.21138307708686813</v>
      </c>
      <c r="G188" s="244">
        <f>D188/C188</f>
        <v>0.09160266227624121</v>
      </c>
      <c r="H188" s="245">
        <f>1-G188</f>
        <v>0.9083973377237587</v>
      </c>
      <c r="I188" s="156"/>
    </row>
    <row r="189" spans="1:9" ht="15" thickTop="1">
      <c r="A189" s="166"/>
      <c r="B189" s="167"/>
      <c r="C189" s="225"/>
      <c r="D189" s="225"/>
      <c r="E189" s="225"/>
      <c r="F189" s="165"/>
      <c r="G189" s="240"/>
      <c r="H189" s="241"/>
      <c r="I189" s="156"/>
    </row>
    <row r="190" spans="1:9" ht="15">
      <c r="A190" s="163" t="s">
        <v>64</v>
      </c>
      <c r="B190" s="164">
        <f>DATE(19,7,1)</f>
        <v>7122</v>
      </c>
      <c r="C190" s="225">
        <v>30055377.4</v>
      </c>
      <c r="D190" s="225">
        <v>3293709.88</v>
      </c>
      <c r="E190" s="225">
        <v>3425449</v>
      </c>
      <c r="F190" s="165">
        <f aca="true" t="shared" si="36" ref="F190:F201">(+D190-E190)/E190</f>
        <v>-0.038458934872479526</v>
      </c>
      <c r="G190" s="240">
        <f aca="true" t="shared" si="37" ref="G190:G198">D190/C190</f>
        <v>0.10958803931039642</v>
      </c>
      <c r="H190" s="241">
        <f aca="true" t="shared" si="38" ref="H190:H198">1-G190</f>
        <v>0.8904119606896036</v>
      </c>
      <c r="I190" s="156"/>
    </row>
    <row r="191" spans="1:9" ht="15">
      <c r="A191" s="163"/>
      <c r="B191" s="164">
        <f>DATE(19,8,1)</f>
        <v>7153</v>
      </c>
      <c r="C191" s="225">
        <v>32273780.59</v>
      </c>
      <c r="D191" s="225">
        <v>3283356.99</v>
      </c>
      <c r="E191" s="225">
        <v>3421840.59</v>
      </c>
      <c r="F191" s="165">
        <f t="shared" si="36"/>
        <v>-0.04047050011759888</v>
      </c>
      <c r="G191" s="240">
        <f t="shared" si="37"/>
        <v>0.1017345018146819</v>
      </c>
      <c r="H191" s="241">
        <f t="shared" si="38"/>
        <v>0.8982654981853181</v>
      </c>
      <c r="I191" s="156"/>
    </row>
    <row r="192" spans="1:9" ht="15">
      <c r="A192" s="163"/>
      <c r="B192" s="164">
        <f>DATE(19,9,1)</f>
        <v>7184</v>
      </c>
      <c r="C192" s="225">
        <v>27948254.77</v>
      </c>
      <c r="D192" s="225">
        <v>3164787.25</v>
      </c>
      <c r="E192" s="225">
        <v>3252949</v>
      </c>
      <c r="F192" s="165">
        <f t="shared" si="36"/>
        <v>-0.027102100278854666</v>
      </c>
      <c r="G192" s="240">
        <f t="shared" si="37"/>
        <v>0.11323738373091981</v>
      </c>
      <c r="H192" s="241">
        <f t="shared" si="38"/>
        <v>0.8867626162690802</v>
      </c>
      <c r="I192" s="156"/>
    </row>
    <row r="193" spans="1:9" ht="15">
      <c r="A193" s="163"/>
      <c r="B193" s="164">
        <f>DATE(19,10,1)</f>
        <v>7214</v>
      </c>
      <c r="C193" s="225">
        <v>28019367.18</v>
      </c>
      <c r="D193" s="225">
        <v>3114034.79</v>
      </c>
      <c r="E193" s="225">
        <v>3250399.43</v>
      </c>
      <c r="F193" s="165">
        <f t="shared" si="36"/>
        <v>-0.041953194657064076</v>
      </c>
      <c r="G193" s="240">
        <f t="shared" si="37"/>
        <v>0.11113865527351285</v>
      </c>
      <c r="H193" s="241">
        <f t="shared" si="38"/>
        <v>0.8888613447264871</v>
      </c>
      <c r="I193" s="156"/>
    </row>
    <row r="194" spans="1:9" ht="15">
      <c r="A194" s="163"/>
      <c r="B194" s="164">
        <f>DATE(19,11,1)</f>
        <v>7245</v>
      </c>
      <c r="C194" s="225">
        <v>29444428.43</v>
      </c>
      <c r="D194" s="225">
        <v>3192066.7</v>
      </c>
      <c r="E194" s="225">
        <v>3195617.35</v>
      </c>
      <c r="F194" s="165">
        <f t="shared" si="36"/>
        <v>-0.0011110998630671181</v>
      </c>
      <c r="G194" s="240">
        <f t="shared" si="37"/>
        <v>0.10840987141552744</v>
      </c>
      <c r="H194" s="241">
        <f t="shared" si="38"/>
        <v>0.8915901285844725</v>
      </c>
      <c r="I194" s="156"/>
    </row>
    <row r="195" spans="1:9" ht="15">
      <c r="A195" s="163"/>
      <c r="B195" s="164">
        <f>DATE(19,12,1)</f>
        <v>7275</v>
      </c>
      <c r="C195" s="225">
        <v>30319604.32</v>
      </c>
      <c r="D195" s="225">
        <v>3336598.49</v>
      </c>
      <c r="E195" s="225">
        <v>3572083.96</v>
      </c>
      <c r="F195" s="165">
        <f t="shared" si="36"/>
        <v>-0.06592383399633187</v>
      </c>
      <c r="G195" s="240">
        <f t="shared" si="37"/>
        <v>0.11004756047555175</v>
      </c>
      <c r="H195" s="241">
        <f t="shared" si="38"/>
        <v>0.8899524395244482</v>
      </c>
      <c r="I195" s="156"/>
    </row>
    <row r="196" spans="1:9" ht="15">
      <c r="A196" s="163"/>
      <c r="B196" s="164">
        <f>DATE(20,1,1)</f>
        <v>7306</v>
      </c>
      <c r="C196" s="225">
        <v>28034607.52</v>
      </c>
      <c r="D196" s="225">
        <v>3179496.92</v>
      </c>
      <c r="E196" s="225">
        <v>3109821.23</v>
      </c>
      <c r="F196" s="165">
        <f t="shared" si="36"/>
        <v>0.022405046736400324</v>
      </c>
      <c r="G196" s="240">
        <f t="shared" si="37"/>
        <v>0.11341328455309155</v>
      </c>
      <c r="H196" s="241">
        <f t="shared" si="38"/>
        <v>0.8865867154469085</v>
      </c>
      <c r="I196" s="156"/>
    </row>
    <row r="197" spans="1:9" ht="15">
      <c r="A197" s="163"/>
      <c r="B197" s="164">
        <f>DATE(20,2,1)</f>
        <v>7337</v>
      </c>
      <c r="C197" s="225">
        <v>32297262.23</v>
      </c>
      <c r="D197" s="225">
        <v>3678191.22</v>
      </c>
      <c r="E197" s="225">
        <v>3355638.84</v>
      </c>
      <c r="F197" s="165">
        <f t="shared" si="36"/>
        <v>0.0961224957093417</v>
      </c>
      <c r="G197" s="240">
        <f t="shared" si="37"/>
        <v>0.11388554218021099</v>
      </c>
      <c r="H197" s="241">
        <f t="shared" si="38"/>
        <v>0.886114457819789</v>
      </c>
      <c r="I197" s="156"/>
    </row>
    <row r="198" spans="1:9" ht="15">
      <c r="A198" s="163"/>
      <c r="B198" s="164">
        <f>DATE(20,3,1)</f>
        <v>7366</v>
      </c>
      <c r="C198" s="225">
        <v>17535482.73</v>
      </c>
      <c r="D198" s="225">
        <v>1985714.01</v>
      </c>
      <c r="E198" s="225">
        <v>2155967.57</v>
      </c>
      <c r="F198" s="165">
        <f t="shared" si="36"/>
        <v>-0.07896851621010229</v>
      </c>
      <c r="G198" s="240">
        <f t="shared" si="37"/>
        <v>0.11323976879192535</v>
      </c>
      <c r="H198" s="241">
        <f t="shared" si="38"/>
        <v>0.8867602312080747</v>
      </c>
      <c r="I198" s="156"/>
    </row>
    <row r="199" spans="1:9" ht="15">
      <c r="A199" s="163"/>
      <c r="B199" s="164">
        <f>DATE(20,4,1)</f>
        <v>7397</v>
      </c>
      <c r="C199" s="225">
        <v>0</v>
      </c>
      <c r="D199" s="225">
        <v>0</v>
      </c>
      <c r="E199" s="225">
        <v>1189025.86</v>
      </c>
      <c r="F199" s="165">
        <f t="shared" si="36"/>
        <v>-1</v>
      </c>
      <c r="G199" s="240">
        <v>0</v>
      </c>
      <c r="H199" s="241">
        <v>0</v>
      </c>
      <c r="I199" s="156"/>
    </row>
    <row r="200" spans="1:9" ht="15">
      <c r="A200" s="163"/>
      <c r="B200" s="164">
        <f>DATE(20,5,1)</f>
        <v>7427</v>
      </c>
      <c r="C200" s="225">
        <v>0</v>
      </c>
      <c r="D200" s="225">
        <v>0</v>
      </c>
      <c r="E200" s="225">
        <v>3072336.8</v>
      </c>
      <c r="F200" s="165">
        <f t="shared" si="36"/>
        <v>-1</v>
      </c>
      <c r="G200" s="240">
        <v>0</v>
      </c>
      <c r="H200" s="241">
        <v>0</v>
      </c>
      <c r="I200" s="156"/>
    </row>
    <row r="201" spans="1:9" ht="15">
      <c r="A201" s="163"/>
      <c r="B201" s="164">
        <v>44002</v>
      </c>
      <c r="C201" s="225">
        <v>25731160.32</v>
      </c>
      <c r="D201" s="225">
        <v>2915890.13</v>
      </c>
      <c r="E201" s="225">
        <v>2743702.51</v>
      </c>
      <c r="F201" s="165">
        <f t="shared" si="36"/>
        <v>0.06275739420451969</v>
      </c>
      <c r="G201" s="240">
        <f>D201/C201</f>
        <v>0.11332136187164372</v>
      </c>
      <c r="H201" s="241">
        <f>1-G201</f>
        <v>0.8866786381283562</v>
      </c>
      <c r="I201" s="156"/>
    </row>
    <row r="202" spans="1:9" ht="15" thickBot="1">
      <c r="A202" s="166"/>
      <c r="B202" s="167"/>
      <c r="C202" s="225"/>
      <c r="D202" s="225"/>
      <c r="E202" s="225"/>
      <c r="F202" s="165"/>
      <c r="G202" s="240"/>
      <c r="H202" s="241"/>
      <c r="I202" s="156"/>
    </row>
    <row r="203" spans="1:9" ht="16.5" thickBot="1" thickTop="1">
      <c r="A203" s="168" t="s">
        <v>14</v>
      </c>
      <c r="B203" s="154"/>
      <c r="C203" s="222">
        <f>SUM(C190:C202)</f>
        <v>281659325.49</v>
      </c>
      <c r="D203" s="222">
        <f>SUM(D190:D202)</f>
        <v>31143846.380000003</v>
      </c>
      <c r="E203" s="222">
        <f>SUM(E190:E202)</f>
        <v>35744832.14</v>
      </c>
      <c r="F203" s="175">
        <f>(+D203-E203)/E203</f>
        <v>-0.1287175092046746</v>
      </c>
      <c r="G203" s="244">
        <f>D203/C203</f>
        <v>0.11057275070093757</v>
      </c>
      <c r="H203" s="245">
        <f>1-G203</f>
        <v>0.8894272492990625</v>
      </c>
      <c r="I203" s="156"/>
    </row>
    <row r="204" spans="1:9" ht="15.75" thickBot="1" thickTop="1">
      <c r="A204" s="170"/>
      <c r="B204" s="171"/>
      <c r="C204" s="226"/>
      <c r="D204" s="226"/>
      <c r="E204" s="226"/>
      <c r="F204" s="172"/>
      <c r="G204" s="242"/>
      <c r="H204" s="243"/>
      <c r="I204" s="156"/>
    </row>
    <row r="205" spans="1:9" ht="16.5" thickBot="1" thickTop="1">
      <c r="A205" s="183" t="s">
        <v>41</v>
      </c>
      <c r="B205" s="154"/>
      <c r="C205" s="222">
        <f>C203+C188+C143+C113+C83+C53+C23+C68+C173+C38+C128+C158+C98</f>
        <v>11889567814.230001</v>
      </c>
      <c r="D205" s="222">
        <f>D203+D188+D143+D113+D83+D53+D23+D68+D173+D38+D128+D158+D98</f>
        <v>1157533296.1</v>
      </c>
      <c r="E205" s="222">
        <f>E203+E188+E143+E113+E83+E53+E23+E68+E173+E38+E128+E158+E98</f>
        <v>1474466439.34</v>
      </c>
      <c r="F205" s="169">
        <f>(+D205-E205)/E205</f>
        <v>-0.21494768194375824</v>
      </c>
      <c r="G205" s="235">
        <f>D205/C205</f>
        <v>0.09735705403140128</v>
      </c>
      <c r="H205" s="236">
        <f>1-G205</f>
        <v>0.9026429459685987</v>
      </c>
      <c r="I205" s="156"/>
    </row>
    <row r="206" spans="1:9" ht="16.5" thickBot="1" thickTop="1">
      <c r="A206" s="183"/>
      <c r="B206" s="154"/>
      <c r="C206" s="222"/>
      <c r="D206" s="222"/>
      <c r="E206" s="222"/>
      <c r="F206" s="169"/>
      <c r="G206" s="235"/>
      <c r="H206" s="236"/>
      <c r="I206" s="156"/>
    </row>
    <row r="207" spans="1:9" ht="16.5" thickBot="1" thickTop="1">
      <c r="A207" s="183" t="s">
        <v>42</v>
      </c>
      <c r="B207" s="154"/>
      <c r="C207" s="222">
        <f>SUM(C21+C36+C51+C66+C81+C96+C111+C126+C141+C156+C171+C186+C201)</f>
        <v>1075369656.2</v>
      </c>
      <c r="D207" s="222">
        <f>SUM(D21+D36+D51+D66+D81+D96+D111+D126+D141+D156+D171+D186+D201)</f>
        <v>106631690.11</v>
      </c>
      <c r="E207" s="222">
        <f>SUM(E21+E36+E51+E66+E81+E96+E111+E126+E141+E156+E171+E186+E201)</f>
        <v>122430177.33999999</v>
      </c>
      <c r="F207" s="169">
        <f>(+D207-E207)/E207</f>
        <v>-0.12904079348121927</v>
      </c>
      <c r="G207" s="235">
        <f>D207/C207</f>
        <v>0.099158172722486</v>
      </c>
      <c r="H207" s="236">
        <f>1-G207</f>
        <v>0.900841827277514</v>
      </c>
      <c r="I207" s="156"/>
    </row>
    <row r="208" spans="1:9" ht="15.75" thickTop="1">
      <c r="A208" s="184"/>
      <c r="B208" s="185"/>
      <c r="C208" s="230"/>
      <c r="D208" s="230"/>
      <c r="E208" s="230"/>
      <c r="F208" s="186"/>
      <c r="G208" s="249"/>
      <c r="H208" s="249"/>
      <c r="I208" s="150"/>
    </row>
    <row r="209" spans="1:9" ht="16.5" customHeight="1">
      <c r="A209" s="187" t="s">
        <v>52</v>
      </c>
      <c r="B209" s="188"/>
      <c r="C209" s="231"/>
      <c r="D209" s="231"/>
      <c r="E209" s="231"/>
      <c r="F209" s="189"/>
      <c r="G209" s="250"/>
      <c r="H209" s="250"/>
      <c r="I209" s="150"/>
    </row>
    <row r="210" spans="1:9" ht="15">
      <c r="A210" s="190"/>
      <c r="B210" s="188"/>
      <c r="C210" s="231"/>
      <c r="D210" s="231"/>
      <c r="E210" s="231"/>
      <c r="F210" s="189"/>
      <c r="G210" s="256"/>
      <c r="H210" s="256"/>
      <c r="I210" s="150"/>
    </row>
    <row r="211" spans="1:9" ht="15">
      <c r="A211" s="71"/>
      <c r="I211" s="150"/>
    </row>
  </sheetData>
  <sheetProtection/>
  <printOptions horizontalCentered="1"/>
  <pageMargins left="0.75" right="0.25" top="0.3194" bottom="0.2" header="0.5" footer="0.5"/>
  <pageSetup horizontalDpi="600" verticalDpi="600" orientation="landscape" scale="66" r:id="rId1"/>
  <rowBreaks count="4" manualBreakCount="4">
    <brk id="53" max="8" man="1"/>
    <brk id="98" max="8" man="1"/>
    <brk id="143" max="8" man="1"/>
    <brk id="1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Jennifer Bruns</cp:lastModifiedBy>
  <cp:lastPrinted>2020-07-09T20:50:27Z</cp:lastPrinted>
  <dcterms:created xsi:type="dcterms:W3CDTF">2003-09-09T14:41:43Z</dcterms:created>
  <dcterms:modified xsi:type="dcterms:W3CDTF">2020-07-09T20:54:39Z</dcterms:modified>
  <cp:category/>
  <cp:version/>
  <cp:contentType/>
  <cp:contentStatus/>
</cp:coreProperties>
</file>