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STATS'!$A$1:$M$156</definedName>
    <definedName name="_xlnm.Print_Area" localSheetId="3">'SLOT STATS'!$A$1:$I$157</definedName>
    <definedName name="_xlnm.Print_Area" localSheetId="2">'TABLE STATS'!$A$1:$H$156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55" i="4" l="1"/>
  <c r="D155" i="4"/>
  <c r="C155" i="4"/>
  <c r="F149" i="4"/>
  <c r="G149" i="4"/>
  <c r="H149" i="4" s="1"/>
  <c r="F138" i="4"/>
  <c r="G138" i="4"/>
  <c r="H138" i="4"/>
  <c r="F127" i="4"/>
  <c r="G127" i="4"/>
  <c r="H127" i="4"/>
  <c r="F116" i="4"/>
  <c r="G116" i="4"/>
  <c r="H116" i="4" s="1"/>
  <c r="F105" i="4"/>
  <c r="G105" i="4"/>
  <c r="H105" i="4" s="1"/>
  <c r="F94" i="4"/>
  <c r="G94" i="4"/>
  <c r="H94" i="4"/>
  <c r="F83" i="4"/>
  <c r="G83" i="4"/>
  <c r="H83" i="4"/>
  <c r="F72" i="4"/>
  <c r="G72" i="4"/>
  <c r="H72" i="4" s="1"/>
  <c r="F61" i="4"/>
  <c r="G61" i="4"/>
  <c r="H61" i="4" s="1"/>
  <c r="F50" i="4"/>
  <c r="G50" i="4"/>
  <c r="H50" i="4"/>
  <c r="F39" i="4"/>
  <c r="G39" i="4"/>
  <c r="H39" i="4"/>
  <c r="F28" i="4"/>
  <c r="G28" i="4"/>
  <c r="H28" i="4" s="1"/>
  <c r="F17" i="4"/>
  <c r="G17" i="4"/>
  <c r="H17" i="4" s="1"/>
  <c r="B149" i="4"/>
  <c r="B138" i="4"/>
  <c r="B127" i="4"/>
  <c r="B116" i="4"/>
  <c r="B105" i="4"/>
  <c r="B94" i="4"/>
  <c r="B83" i="4"/>
  <c r="B72" i="4"/>
  <c r="B61" i="4"/>
  <c r="B50" i="4"/>
  <c r="B39" i="4"/>
  <c r="B28" i="4"/>
  <c r="B17" i="4"/>
  <c r="E154" i="3"/>
  <c r="D154" i="3"/>
  <c r="F154" i="3" s="1"/>
  <c r="C154" i="3"/>
  <c r="F148" i="3"/>
  <c r="G148" i="3"/>
  <c r="F137" i="3"/>
  <c r="G137" i="3"/>
  <c r="F126" i="3"/>
  <c r="G126" i="3"/>
  <c r="F115" i="3"/>
  <c r="G115" i="3"/>
  <c r="F104" i="3"/>
  <c r="G104" i="3"/>
  <c r="F93" i="3"/>
  <c r="G93" i="3"/>
  <c r="F82" i="3"/>
  <c r="G82" i="3"/>
  <c r="F71" i="3"/>
  <c r="G71" i="3"/>
  <c r="F60" i="3"/>
  <c r="G60" i="3"/>
  <c r="F49" i="3"/>
  <c r="G49" i="3"/>
  <c r="F38" i="3"/>
  <c r="G38" i="3"/>
  <c r="F27" i="3"/>
  <c r="G27" i="3"/>
  <c r="F16" i="3"/>
  <c r="G16" i="3"/>
  <c r="B148" i="3"/>
  <c r="B137" i="3"/>
  <c r="B126" i="3"/>
  <c r="B115" i="3"/>
  <c r="B104" i="3"/>
  <c r="B93" i="3"/>
  <c r="B82" i="3"/>
  <c r="B71" i="3"/>
  <c r="B60" i="3"/>
  <c r="B49" i="3"/>
  <c r="B38" i="3"/>
  <c r="B27" i="3"/>
  <c r="B16" i="3"/>
  <c r="F59" i="1"/>
  <c r="F69" i="1"/>
  <c r="J69" i="1"/>
  <c r="F70" i="1"/>
  <c r="H70" i="1" s="1"/>
  <c r="F80" i="1"/>
  <c r="J80" i="1" s="1"/>
  <c r="F90" i="1"/>
  <c r="F98" i="1"/>
  <c r="F102" i="1"/>
  <c r="F111" i="1"/>
  <c r="F134" i="1"/>
  <c r="F136" i="1"/>
  <c r="J136" i="1" s="1"/>
  <c r="G90" i="1"/>
  <c r="G92" i="1"/>
  <c r="N38" i="2"/>
  <c r="N44" i="2" s="1"/>
  <c r="M38" i="2"/>
  <c r="L38" i="2"/>
  <c r="K38" i="2"/>
  <c r="J38" i="2"/>
  <c r="I38" i="2"/>
  <c r="H38" i="2"/>
  <c r="G38" i="2"/>
  <c r="F38" i="2"/>
  <c r="E38" i="2"/>
  <c r="D38" i="2"/>
  <c r="C38" i="2"/>
  <c r="B38" i="2"/>
  <c r="O38" i="2" s="1"/>
  <c r="A38" i="2"/>
  <c r="N17" i="2"/>
  <c r="M17" i="2"/>
  <c r="L17" i="2"/>
  <c r="K17" i="2"/>
  <c r="J17" i="2"/>
  <c r="I17" i="2"/>
  <c r="H17" i="2"/>
  <c r="G17" i="2"/>
  <c r="F17" i="2"/>
  <c r="E17" i="2"/>
  <c r="D17" i="2"/>
  <c r="O17" i="2" s="1"/>
  <c r="C17" i="2"/>
  <c r="B17" i="2"/>
  <c r="A17" i="2"/>
  <c r="L154" i="1"/>
  <c r="K154" i="1"/>
  <c r="D154" i="1"/>
  <c r="C154" i="1"/>
  <c r="H148" i="1"/>
  <c r="M148" i="1"/>
  <c r="I148" i="1"/>
  <c r="J148" i="1"/>
  <c r="G148" i="1"/>
  <c r="F148" i="1"/>
  <c r="E148" i="1"/>
  <c r="M137" i="1"/>
  <c r="I137" i="1"/>
  <c r="G137" i="1"/>
  <c r="F137" i="1"/>
  <c r="J137" i="1" s="1"/>
  <c r="E137" i="1"/>
  <c r="H126" i="1"/>
  <c r="M126" i="1"/>
  <c r="I126" i="1"/>
  <c r="G126" i="1"/>
  <c r="F126" i="1"/>
  <c r="J126" i="1" s="1"/>
  <c r="E126" i="1"/>
  <c r="M115" i="1"/>
  <c r="I115" i="1"/>
  <c r="J115" i="1"/>
  <c r="G115" i="1"/>
  <c r="F115" i="1"/>
  <c r="H115" i="1" s="1"/>
  <c r="E115" i="1"/>
  <c r="M104" i="1"/>
  <c r="I104" i="1"/>
  <c r="G104" i="1"/>
  <c r="F104" i="1"/>
  <c r="H104" i="1" s="1"/>
  <c r="E104" i="1"/>
  <c r="H93" i="1"/>
  <c r="M93" i="1"/>
  <c r="I93" i="1"/>
  <c r="J93" i="1"/>
  <c r="G93" i="1"/>
  <c r="F93" i="1"/>
  <c r="E93" i="1"/>
  <c r="M82" i="1"/>
  <c r="I82" i="1"/>
  <c r="G82" i="1"/>
  <c r="F82" i="1"/>
  <c r="J82" i="1" s="1"/>
  <c r="E82" i="1"/>
  <c r="H71" i="1"/>
  <c r="M71" i="1"/>
  <c r="I71" i="1"/>
  <c r="J71" i="1"/>
  <c r="G71" i="1"/>
  <c r="F71" i="1"/>
  <c r="E71" i="1"/>
  <c r="M60" i="1"/>
  <c r="I60" i="1"/>
  <c r="G60" i="1"/>
  <c r="F60" i="1"/>
  <c r="H60" i="1" s="1"/>
  <c r="E60" i="1"/>
  <c r="M49" i="1"/>
  <c r="I49" i="1"/>
  <c r="J49" i="1"/>
  <c r="G49" i="1"/>
  <c r="H49" i="1" s="1"/>
  <c r="F49" i="1"/>
  <c r="E49" i="1"/>
  <c r="M38" i="1"/>
  <c r="I38" i="1"/>
  <c r="J38" i="1"/>
  <c r="G38" i="1"/>
  <c r="F38" i="1"/>
  <c r="H38" i="1" s="1"/>
  <c r="E38" i="1"/>
  <c r="M27" i="1"/>
  <c r="I27" i="1"/>
  <c r="G27" i="1"/>
  <c r="F27" i="1"/>
  <c r="J27" i="1" s="1"/>
  <c r="E27" i="1"/>
  <c r="H16" i="1"/>
  <c r="M16" i="1"/>
  <c r="I16" i="1"/>
  <c r="J16" i="1"/>
  <c r="G16" i="1"/>
  <c r="G154" i="1" s="1"/>
  <c r="F16" i="1"/>
  <c r="E16" i="1"/>
  <c r="B148" i="1"/>
  <c r="B137" i="1"/>
  <c r="B126" i="1"/>
  <c r="B115" i="1"/>
  <c r="B104" i="1"/>
  <c r="B93" i="1"/>
  <c r="B82" i="1"/>
  <c r="B71" i="1"/>
  <c r="B60" i="1"/>
  <c r="B49" i="1"/>
  <c r="B38" i="1"/>
  <c r="B27" i="1"/>
  <c r="B16" i="1"/>
  <c r="F148" i="4"/>
  <c r="G148" i="4"/>
  <c r="H148" i="4" s="1"/>
  <c r="F137" i="4"/>
  <c r="G137" i="4"/>
  <c r="H137" i="4" s="1"/>
  <c r="F126" i="4"/>
  <c r="G126" i="4"/>
  <c r="H126" i="4"/>
  <c r="F115" i="4"/>
  <c r="G115" i="4"/>
  <c r="H115" i="4"/>
  <c r="F104" i="4"/>
  <c r="G104" i="4"/>
  <c r="H104" i="4" s="1"/>
  <c r="F93" i="4"/>
  <c r="G93" i="4"/>
  <c r="H93" i="4" s="1"/>
  <c r="F82" i="4"/>
  <c r="G82" i="4"/>
  <c r="H82" i="4"/>
  <c r="F71" i="4"/>
  <c r="G71" i="4"/>
  <c r="H71" i="4"/>
  <c r="F60" i="4"/>
  <c r="G60" i="4"/>
  <c r="H60" i="4" s="1"/>
  <c r="F49" i="4"/>
  <c r="G49" i="4"/>
  <c r="H49" i="4" s="1"/>
  <c r="F38" i="4"/>
  <c r="G38" i="4"/>
  <c r="H38" i="4"/>
  <c r="F27" i="4"/>
  <c r="G27" i="4"/>
  <c r="H27" i="4"/>
  <c r="F16" i="4"/>
  <c r="G16" i="4"/>
  <c r="H16" i="4" s="1"/>
  <c r="B148" i="4"/>
  <c r="B137" i="4"/>
  <c r="B126" i="4"/>
  <c r="B115" i="4"/>
  <c r="B104" i="4"/>
  <c r="B93" i="4"/>
  <c r="B82" i="4"/>
  <c r="B71" i="4"/>
  <c r="B60" i="4"/>
  <c r="B49" i="4"/>
  <c r="B38" i="4"/>
  <c r="B27" i="4"/>
  <c r="B16" i="4"/>
  <c r="F147" i="3"/>
  <c r="G147" i="3"/>
  <c r="F136" i="3"/>
  <c r="G136" i="3"/>
  <c r="F125" i="3"/>
  <c r="G125" i="3"/>
  <c r="F114" i="3"/>
  <c r="G114" i="3"/>
  <c r="F103" i="3"/>
  <c r="G103" i="3"/>
  <c r="F92" i="3"/>
  <c r="G92" i="3"/>
  <c r="F81" i="3"/>
  <c r="G81" i="3"/>
  <c r="F70" i="3"/>
  <c r="G70" i="3"/>
  <c r="F59" i="3"/>
  <c r="G59" i="3"/>
  <c r="F48" i="3"/>
  <c r="G48" i="3"/>
  <c r="F37" i="3"/>
  <c r="G37" i="3"/>
  <c r="F26" i="3"/>
  <c r="G26" i="3"/>
  <c r="F15" i="3"/>
  <c r="G15" i="3"/>
  <c r="B147" i="3"/>
  <c r="B136" i="3"/>
  <c r="B125" i="3"/>
  <c r="B114" i="3"/>
  <c r="B103" i="3"/>
  <c r="B92" i="3"/>
  <c r="B81" i="3"/>
  <c r="B70" i="3"/>
  <c r="B59" i="3"/>
  <c r="B48" i="3"/>
  <c r="B37" i="3"/>
  <c r="B26" i="3"/>
  <c r="B15" i="3"/>
  <c r="F36" i="1"/>
  <c r="F67" i="1"/>
  <c r="F88" i="1"/>
  <c r="F113" i="1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O16" i="2" s="1"/>
  <c r="G16" i="2"/>
  <c r="F16" i="2"/>
  <c r="E16" i="2"/>
  <c r="D16" i="2"/>
  <c r="C16" i="2"/>
  <c r="B16" i="2"/>
  <c r="A37" i="2"/>
  <c r="A16" i="2"/>
  <c r="H147" i="1"/>
  <c r="M147" i="1"/>
  <c r="I147" i="1"/>
  <c r="J147" i="1"/>
  <c r="G147" i="1"/>
  <c r="F147" i="1"/>
  <c r="E147" i="1"/>
  <c r="M136" i="1"/>
  <c r="I136" i="1"/>
  <c r="G136" i="1"/>
  <c r="E136" i="1"/>
  <c r="H125" i="1"/>
  <c r="M125" i="1"/>
  <c r="I125" i="1"/>
  <c r="J125" i="1"/>
  <c r="G125" i="1"/>
  <c r="F125" i="1"/>
  <c r="E125" i="1"/>
  <c r="M114" i="1"/>
  <c r="I114" i="1"/>
  <c r="G114" i="1"/>
  <c r="F114" i="1"/>
  <c r="J114" i="1" s="1"/>
  <c r="E114" i="1"/>
  <c r="H103" i="1"/>
  <c r="M103" i="1"/>
  <c r="I103" i="1"/>
  <c r="G103" i="1"/>
  <c r="F103" i="1"/>
  <c r="J103" i="1" s="1"/>
  <c r="E103" i="1"/>
  <c r="M92" i="1"/>
  <c r="I92" i="1"/>
  <c r="H92" i="1"/>
  <c r="F92" i="1"/>
  <c r="J92" i="1" s="1"/>
  <c r="E92" i="1"/>
  <c r="M81" i="1"/>
  <c r="I81" i="1"/>
  <c r="J81" i="1"/>
  <c r="G81" i="1"/>
  <c r="H81" i="1" s="1"/>
  <c r="F81" i="1"/>
  <c r="E81" i="1"/>
  <c r="M70" i="1"/>
  <c r="I70" i="1"/>
  <c r="J70" i="1"/>
  <c r="G70" i="1"/>
  <c r="E70" i="1"/>
  <c r="M59" i="1"/>
  <c r="I59" i="1"/>
  <c r="G59" i="1"/>
  <c r="J59" i="1"/>
  <c r="E59" i="1"/>
  <c r="M48" i="1"/>
  <c r="I48" i="1"/>
  <c r="J48" i="1"/>
  <c r="G48" i="1"/>
  <c r="F48" i="1"/>
  <c r="H48" i="1" s="1"/>
  <c r="E48" i="1"/>
  <c r="H37" i="1"/>
  <c r="M37" i="1"/>
  <c r="I37" i="1"/>
  <c r="J37" i="1"/>
  <c r="G37" i="1"/>
  <c r="F37" i="1"/>
  <c r="E37" i="1"/>
  <c r="H26" i="1"/>
  <c r="M26" i="1"/>
  <c r="I26" i="1"/>
  <c r="J26" i="1"/>
  <c r="G26" i="1"/>
  <c r="F26" i="1"/>
  <c r="E26" i="1"/>
  <c r="M15" i="1"/>
  <c r="I15" i="1"/>
  <c r="G15" i="1"/>
  <c r="F15" i="1"/>
  <c r="J15" i="1" s="1"/>
  <c r="E15" i="1"/>
  <c r="B147" i="1"/>
  <c r="B136" i="1"/>
  <c r="B125" i="1"/>
  <c r="B114" i="1"/>
  <c r="B103" i="1"/>
  <c r="B92" i="1"/>
  <c r="B81" i="1"/>
  <c r="B70" i="1"/>
  <c r="B59" i="1"/>
  <c r="B48" i="1"/>
  <c r="B37" i="1"/>
  <c r="B26" i="1"/>
  <c r="B15" i="1"/>
  <c r="F147" i="4"/>
  <c r="G147" i="4"/>
  <c r="H147" i="4" s="1"/>
  <c r="F136" i="4"/>
  <c r="G136" i="4"/>
  <c r="H136" i="4" s="1"/>
  <c r="F125" i="4"/>
  <c r="G125" i="4"/>
  <c r="H125" i="4"/>
  <c r="F114" i="4"/>
  <c r="G114" i="4"/>
  <c r="H114" i="4"/>
  <c r="F103" i="4"/>
  <c r="G103" i="4"/>
  <c r="H103" i="4" s="1"/>
  <c r="F92" i="4"/>
  <c r="G92" i="4"/>
  <c r="H92" i="4" s="1"/>
  <c r="F81" i="4"/>
  <c r="G81" i="4"/>
  <c r="H81" i="4"/>
  <c r="F70" i="4"/>
  <c r="G70" i="4"/>
  <c r="H70" i="4"/>
  <c r="F59" i="4"/>
  <c r="G59" i="4"/>
  <c r="H59" i="4" s="1"/>
  <c r="F48" i="4"/>
  <c r="G48" i="4"/>
  <c r="H48" i="4" s="1"/>
  <c r="F37" i="4"/>
  <c r="G37" i="4"/>
  <c r="H37" i="4"/>
  <c r="F26" i="4"/>
  <c r="G26" i="4"/>
  <c r="H26" i="4"/>
  <c r="F15" i="4"/>
  <c r="G15" i="4"/>
  <c r="H15" i="4" s="1"/>
  <c r="B147" i="4"/>
  <c r="B136" i="4"/>
  <c r="B125" i="4"/>
  <c r="B114" i="4"/>
  <c r="B103" i="4"/>
  <c r="B92" i="4"/>
  <c r="B81" i="4"/>
  <c r="B70" i="4"/>
  <c r="B59" i="4"/>
  <c r="B48" i="4"/>
  <c r="B37" i="4"/>
  <c r="B26" i="4"/>
  <c r="B15" i="4"/>
  <c r="F146" i="3"/>
  <c r="G146" i="3"/>
  <c r="F135" i="3"/>
  <c r="G135" i="3"/>
  <c r="F124" i="3"/>
  <c r="G124" i="3"/>
  <c r="F113" i="3"/>
  <c r="G113" i="3"/>
  <c r="F102" i="3"/>
  <c r="G102" i="3"/>
  <c r="F91" i="3"/>
  <c r="G91" i="3"/>
  <c r="F80" i="3"/>
  <c r="G80" i="3"/>
  <c r="F69" i="3"/>
  <c r="G69" i="3"/>
  <c r="F58" i="3"/>
  <c r="G58" i="3"/>
  <c r="F47" i="3"/>
  <c r="G47" i="3"/>
  <c r="F36" i="3"/>
  <c r="G36" i="3"/>
  <c r="F25" i="3"/>
  <c r="G25" i="3"/>
  <c r="F14" i="3"/>
  <c r="G14" i="3"/>
  <c r="B146" i="3"/>
  <c r="B135" i="3"/>
  <c r="B124" i="3"/>
  <c r="B113" i="3"/>
  <c r="B102" i="3"/>
  <c r="B91" i="3"/>
  <c r="B80" i="3"/>
  <c r="B69" i="3"/>
  <c r="B58" i="3"/>
  <c r="B47" i="3"/>
  <c r="B36" i="3"/>
  <c r="B25" i="3"/>
  <c r="B14" i="3"/>
  <c r="N36" i="2"/>
  <c r="M36" i="2"/>
  <c r="L36" i="2"/>
  <c r="K36" i="2"/>
  <c r="J36" i="2"/>
  <c r="J44" i="2" s="1"/>
  <c r="I36" i="2"/>
  <c r="H36" i="2"/>
  <c r="G36" i="2"/>
  <c r="F36" i="2"/>
  <c r="E36" i="2"/>
  <c r="D36" i="2"/>
  <c r="C36" i="2"/>
  <c r="B36" i="2"/>
  <c r="O36" i="2" s="1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5" i="2" s="1"/>
  <c r="A36" i="2"/>
  <c r="A15" i="2"/>
  <c r="F68" i="1"/>
  <c r="F112" i="1"/>
  <c r="F110" i="1"/>
  <c r="M146" i="1"/>
  <c r="I146" i="1"/>
  <c r="G146" i="1"/>
  <c r="F146" i="1"/>
  <c r="J146" i="1" s="1"/>
  <c r="E146" i="1"/>
  <c r="H135" i="1"/>
  <c r="M135" i="1"/>
  <c r="I135" i="1"/>
  <c r="J135" i="1"/>
  <c r="G135" i="1"/>
  <c r="F135" i="1"/>
  <c r="E135" i="1"/>
  <c r="M124" i="1"/>
  <c r="I124" i="1"/>
  <c r="J124" i="1"/>
  <c r="G124" i="1"/>
  <c r="F124" i="1"/>
  <c r="H124" i="1" s="1"/>
  <c r="E124" i="1"/>
  <c r="M113" i="1"/>
  <c r="I113" i="1"/>
  <c r="G113" i="1"/>
  <c r="H113" i="1" s="1"/>
  <c r="E113" i="1"/>
  <c r="M102" i="1"/>
  <c r="I102" i="1"/>
  <c r="J102" i="1"/>
  <c r="G102" i="1"/>
  <c r="H102" i="1"/>
  <c r="E102" i="1"/>
  <c r="H91" i="1"/>
  <c r="M91" i="1"/>
  <c r="I91" i="1"/>
  <c r="G91" i="1"/>
  <c r="F91" i="1"/>
  <c r="J91" i="1" s="1"/>
  <c r="E91" i="1"/>
  <c r="M80" i="1"/>
  <c r="I80" i="1"/>
  <c r="G80" i="1"/>
  <c r="G84" i="1" s="1"/>
  <c r="E80" i="1"/>
  <c r="M69" i="1"/>
  <c r="I69" i="1"/>
  <c r="G69" i="1"/>
  <c r="E69" i="1"/>
  <c r="M58" i="1"/>
  <c r="I58" i="1"/>
  <c r="G58" i="1"/>
  <c r="F58" i="1"/>
  <c r="J58" i="1" s="1"/>
  <c r="E58" i="1"/>
  <c r="H47" i="1"/>
  <c r="M47" i="1"/>
  <c r="I47" i="1"/>
  <c r="J47" i="1"/>
  <c r="G47" i="1"/>
  <c r="F47" i="1"/>
  <c r="E47" i="1"/>
  <c r="M36" i="1"/>
  <c r="I36" i="1"/>
  <c r="G36" i="1"/>
  <c r="J36" i="1"/>
  <c r="E36" i="1"/>
  <c r="H25" i="1"/>
  <c r="M25" i="1"/>
  <c r="I25" i="1"/>
  <c r="J25" i="1"/>
  <c r="G25" i="1"/>
  <c r="F25" i="1"/>
  <c r="E25" i="1"/>
  <c r="M14" i="1"/>
  <c r="I14" i="1"/>
  <c r="G14" i="1"/>
  <c r="F14" i="1"/>
  <c r="J14" i="1" s="1"/>
  <c r="E14" i="1"/>
  <c r="B146" i="1"/>
  <c r="B135" i="1"/>
  <c r="B124" i="1"/>
  <c r="B113" i="1"/>
  <c r="B102" i="1"/>
  <c r="B91" i="1"/>
  <c r="B80" i="1"/>
  <c r="B69" i="1"/>
  <c r="B58" i="1"/>
  <c r="B47" i="1"/>
  <c r="B36" i="1"/>
  <c r="B25" i="1"/>
  <c r="B14" i="1"/>
  <c r="F13" i="1"/>
  <c r="F146" i="4"/>
  <c r="G146" i="4"/>
  <c r="H146" i="4" s="1"/>
  <c r="F135" i="4"/>
  <c r="G135" i="4"/>
  <c r="H135" i="4"/>
  <c r="F124" i="4"/>
  <c r="G124" i="4"/>
  <c r="H124" i="4"/>
  <c r="F113" i="4"/>
  <c r="G113" i="4"/>
  <c r="H113" i="4" s="1"/>
  <c r="F102" i="4"/>
  <c r="G102" i="4"/>
  <c r="H102" i="4" s="1"/>
  <c r="F91" i="4"/>
  <c r="G91" i="4"/>
  <c r="H91" i="4"/>
  <c r="F80" i="4"/>
  <c r="G80" i="4"/>
  <c r="H80" i="4"/>
  <c r="F69" i="4"/>
  <c r="G69" i="4"/>
  <c r="H69" i="4" s="1"/>
  <c r="F58" i="4"/>
  <c r="G58" i="4"/>
  <c r="H58" i="4" s="1"/>
  <c r="F47" i="4"/>
  <c r="G47" i="4"/>
  <c r="H47" i="4"/>
  <c r="F36" i="4"/>
  <c r="G36" i="4"/>
  <c r="H36" i="4"/>
  <c r="F25" i="4"/>
  <c r="G25" i="4"/>
  <c r="H25" i="4" s="1"/>
  <c r="F14" i="4"/>
  <c r="G14" i="4"/>
  <c r="H14" i="4" s="1"/>
  <c r="B146" i="4"/>
  <c r="B135" i="4"/>
  <c r="B124" i="4"/>
  <c r="B113" i="4"/>
  <c r="B102" i="4"/>
  <c r="B91" i="4"/>
  <c r="B80" i="4"/>
  <c r="B69" i="4"/>
  <c r="B58" i="4"/>
  <c r="B47" i="4"/>
  <c r="B36" i="4"/>
  <c r="B25" i="4"/>
  <c r="B14" i="4"/>
  <c r="F145" i="3"/>
  <c r="G145" i="3"/>
  <c r="F134" i="3"/>
  <c r="G134" i="3"/>
  <c r="F123" i="3"/>
  <c r="G123" i="3"/>
  <c r="F112" i="3"/>
  <c r="G112" i="3"/>
  <c r="F101" i="3"/>
  <c r="G101" i="3"/>
  <c r="F90" i="3"/>
  <c r="G90" i="3"/>
  <c r="F79" i="3"/>
  <c r="G79" i="3"/>
  <c r="F68" i="3"/>
  <c r="G68" i="3"/>
  <c r="F57" i="3"/>
  <c r="G57" i="3"/>
  <c r="F46" i="3"/>
  <c r="G46" i="3"/>
  <c r="F35" i="3"/>
  <c r="G35" i="3"/>
  <c r="F24" i="3"/>
  <c r="G24" i="3"/>
  <c r="F13" i="3"/>
  <c r="G13" i="3"/>
  <c r="B145" i="3"/>
  <c r="B134" i="3"/>
  <c r="B123" i="3"/>
  <c r="B112" i="3"/>
  <c r="B101" i="3"/>
  <c r="B90" i="3"/>
  <c r="B79" i="3"/>
  <c r="B68" i="3"/>
  <c r="B57" i="3"/>
  <c r="B46" i="3"/>
  <c r="B35" i="3"/>
  <c r="B24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O35" i="2" s="1"/>
  <c r="N14" i="2"/>
  <c r="M14" i="2"/>
  <c r="L14" i="2"/>
  <c r="K14" i="2"/>
  <c r="J14" i="2"/>
  <c r="I14" i="2"/>
  <c r="H14" i="2"/>
  <c r="G14" i="2"/>
  <c r="F14" i="2"/>
  <c r="E14" i="2"/>
  <c r="D14" i="2"/>
  <c r="C14" i="2"/>
  <c r="A35" i="2"/>
  <c r="A14" i="2"/>
  <c r="F132" i="1"/>
  <c r="H132" i="1" s="1"/>
  <c r="M145" i="1"/>
  <c r="I145" i="1"/>
  <c r="J145" i="1"/>
  <c r="G145" i="1"/>
  <c r="H145" i="1" s="1"/>
  <c r="F145" i="1"/>
  <c r="E145" i="1"/>
  <c r="M134" i="1"/>
  <c r="I134" i="1"/>
  <c r="G134" i="1"/>
  <c r="H134" i="1" s="1"/>
  <c r="E134" i="1"/>
  <c r="M123" i="1"/>
  <c r="I123" i="1"/>
  <c r="J123" i="1"/>
  <c r="G123" i="1"/>
  <c r="H123" i="1" s="1"/>
  <c r="F123" i="1"/>
  <c r="E123" i="1"/>
  <c r="M112" i="1"/>
  <c r="I112" i="1"/>
  <c r="G112" i="1"/>
  <c r="H112" i="1" s="1"/>
  <c r="J112" i="1"/>
  <c r="E112" i="1"/>
  <c r="M101" i="1"/>
  <c r="I101" i="1"/>
  <c r="J101" i="1"/>
  <c r="G101" i="1"/>
  <c r="H101" i="1" s="1"/>
  <c r="F101" i="1"/>
  <c r="E101" i="1"/>
  <c r="M90" i="1"/>
  <c r="I90" i="1"/>
  <c r="J90" i="1"/>
  <c r="H90" i="1"/>
  <c r="E90" i="1"/>
  <c r="M79" i="1"/>
  <c r="I79" i="1"/>
  <c r="J79" i="1"/>
  <c r="G79" i="1"/>
  <c r="H79" i="1" s="1"/>
  <c r="F79" i="1"/>
  <c r="E79" i="1"/>
  <c r="M68" i="1"/>
  <c r="I68" i="1"/>
  <c r="J68" i="1"/>
  <c r="G68" i="1"/>
  <c r="H68" i="1"/>
  <c r="E68" i="1"/>
  <c r="M57" i="1"/>
  <c r="I57" i="1"/>
  <c r="G57" i="1"/>
  <c r="F57" i="1"/>
  <c r="H57" i="1" s="1"/>
  <c r="E57" i="1"/>
  <c r="H46" i="1"/>
  <c r="M46" i="1"/>
  <c r="I46" i="1"/>
  <c r="J46" i="1"/>
  <c r="G46" i="1"/>
  <c r="F46" i="1"/>
  <c r="E46" i="1"/>
  <c r="M35" i="1"/>
  <c r="I35" i="1"/>
  <c r="G35" i="1"/>
  <c r="F35" i="1"/>
  <c r="J35" i="1" s="1"/>
  <c r="E35" i="1"/>
  <c r="H24" i="1"/>
  <c r="M24" i="1"/>
  <c r="I24" i="1"/>
  <c r="J24" i="1"/>
  <c r="G24" i="1"/>
  <c r="F24" i="1"/>
  <c r="E24" i="1"/>
  <c r="M13" i="1"/>
  <c r="G13" i="1"/>
  <c r="H13" i="1" s="1"/>
  <c r="B145" i="1"/>
  <c r="B134" i="1"/>
  <c r="B133" i="1"/>
  <c r="B123" i="1"/>
  <c r="B112" i="1"/>
  <c r="B101" i="1"/>
  <c r="B90" i="1"/>
  <c r="B79" i="1"/>
  <c r="B68" i="1"/>
  <c r="B57" i="1"/>
  <c r="B46" i="1"/>
  <c r="B35" i="1"/>
  <c r="B24" i="1"/>
  <c r="B13" i="1"/>
  <c r="F145" i="4"/>
  <c r="G145" i="4"/>
  <c r="H145" i="4"/>
  <c r="F134" i="4"/>
  <c r="G134" i="4"/>
  <c r="H134" i="4" s="1"/>
  <c r="F123" i="4"/>
  <c r="G123" i="4"/>
  <c r="H123" i="4" s="1"/>
  <c r="F112" i="4"/>
  <c r="G112" i="4"/>
  <c r="H112" i="4"/>
  <c r="F101" i="4"/>
  <c r="G101" i="4"/>
  <c r="H101" i="4"/>
  <c r="F90" i="4"/>
  <c r="G90" i="4"/>
  <c r="H90" i="4" s="1"/>
  <c r="F79" i="4"/>
  <c r="G79" i="4"/>
  <c r="H79" i="4" s="1"/>
  <c r="F68" i="4"/>
  <c r="G68" i="4"/>
  <c r="H68" i="4"/>
  <c r="F57" i="4"/>
  <c r="G57" i="4"/>
  <c r="H57" i="4"/>
  <c r="F46" i="4"/>
  <c r="G46" i="4"/>
  <c r="H46" i="4" s="1"/>
  <c r="F35" i="4"/>
  <c r="G35" i="4"/>
  <c r="H35" i="4" s="1"/>
  <c r="F24" i="4"/>
  <c r="G24" i="4"/>
  <c r="H24" i="4"/>
  <c r="G13" i="4"/>
  <c r="H13" i="4" s="1"/>
  <c r="F13" i="4"/>
  <c r="B145" i="4"/>
  <c r="B134" i="4"/>
  <c r="B123" i="4"/>
  <c r="B112" i="4"/>
  <c r="B101" i="4"/>
  <c r="B90" i="4"/>
  <c r="B79" i="4"/>
  <c r="B68" i="4"/>
  <c r="B57" i="4"/>
  <c r="B46" i="4"/>
  <c r="B35" i="4"/>
  <c r="B24" i="4"/>
  <c r="B13" i="4"/>
  <c r="F144" i="3"/>
  <c r="G144" i="3"/>
  <c r="F133" i="3"/>
  <c r="G133" i="3"/>
  <c r="F122" i="3"/>
  <c r="G122" i="3"/>
  <c r="F111" i="3"/>
  <c r="G111" i="3"/>
  <c r="F100" i="3"/>
  <c r="G100" i="3"/>
  <c r="F89" i="3"/>
  <c r="G89" i="3"/>
  <c r="F78" i="3"/>
  <c r="G78" i="3"/>
  <c r="F67" i="3"/>
  <c r="G67" i="3"/>
  <c r="F56" i="3"/>
  <c r="G56" i="3"/>
  <c r="F45" i="3"/>
  <c r="G45" i="3"/>
  <c r="F34" i="3"/>
  <c r="G34" i="3"/>
  <c r="F23" i="3"/>
  <c r="G23" i="3"/>
  <c r="G12" i="3"/>
  <c r="F12" i="3"/>
  <c r="B144" i="3"/>
  <c r="B133" i="3"/>
  <c r="B122" i="3"/>
  <c r="B111" i="3"/>
  <c r="B100" i="3"/>
  <c r="B89" i="3"/>
  <c r="B78" i="3"/>
  <c r="B67" i="3"/>
  <c r="B56" i="3"/>
  <c r="B45" i="3"/>
  <c r="B34" i="3"/>
  <c r="B23" i="3"/>
  <c r="B12" i="3"/>
  <c r="F31" i="1"/>
  <c r="F66" i="1"/>
  <c r="F87" i="1"/>
  <c r="H87" i="1" s="1"/>
  <c r="F86" i="1"/>
  <c r="J110" i="1"/>
  <c r="F109" i="1"/>
  <c r="J109" i="1" s="1"/>
  <c r="F108" i="1"/>
  <c r="F117" i="1" s="1"/>
  <c r="F141" i="1"/>
  <c r="N34" i="2"/>
  <c r="M34" i="2"/>
  <c r="L34" i="2"/>
  <c r="K34" i="2"/>
  <c r="J34" i="2"/>
  <c r="I34" i="2"/>
  <c r="H34" i="2"/>
  <c r="G34" i="2"/>
  <c r="F34" i="2"/>
  <c r="E34" i="2"/>
  <c r="D34" i="2"/>
  <c r="O34" i="2" s="1"/>
  <c r="C34" i="2"/>
  <c r="B34" i="2"/>
  <c r="A34" i="2"/>
  <c r="N13" i="2"/>
  <c r="M13" i="2"/>
  <c r="L13" i="2"/>
  <c r="K13" i="2"/>
  <c r="J13" i="2"/>
  <c r="I13" i="2"/>
  <c r="H13" i="2"/>
  <c r="G13" i="2"/>
  <c r="F13" i="2"/>
  <c r="F23" i="2" s="1"/>
  <c r="E13" i="2"/>
  <c r="D13" i="2"/>
  <c r="C13" i="2"/>
  <c r="B13" i="2"/>
  <c r="A13" i="2"/>
  <c r="M144" i="1"/>
  <c r="I144" i="1"/>
  <c r="J144" i="1"/>
  <c r="G144" i="1"/>
  <c r="G150" i="1" s="1"/>
  <c r="F144" i="1"/>
  <c r="H144" i="1" s="1"/>
  <c r="E144" i="1"/>
  <c r="H133" i="1"/>
  <c r="M133" i="1"/>
  <c r="I133" i="1"/>
  <c r="J133" i="1"/>
  <c r="G133" i="1"/>
  <c r="F133" i="1"/>
  <c r="E133" i="1"/>
  <c r="M122" i="1"/>
  <c r="I122" i="1"/>
  <c r="J122" i="1"/>
  <c r="G122" i="1"/>
  <c r="F122" i="1"/>
  <c r="H122" i="1" s="1"/>
  <c r="E122" i="1"/>
  <c r="H111" i="1"/>
  <c r="M111" i="1"/>
  <c r="I111" i="1"/>
  <c r="G111" i="1"/>
  <c r="J111" i="1"/>
  <c r="E111" i="1"/>
  <c r="H100" i="1"/>
  <c r="M100" i="1"/>
  <c r="I100" i="1"/>
  <c r="J100" i="1"/>
  <c r="G100" i="1"/>
  <c r="F100" i="1"/>
  <c r="E100" i="1"/>
  <c r="M89" i="1"/>
  <c r="I89" i="1"/>
  <c r="G89" i="1"/>
  <c r="F89" i="1"/>
  <c r="J89" i="1" s="1"/>
  <c r="E89" i="1"/>
  <c r="H78" i="1"/>
  <c r="M78" i="1"/>
  <c r="I78" i="1"/>
  <c r="J78" i="1"/>
  <c r="G78" i="1"/>
  <c r="F78" i="1"/>
  <c r="E78" i="1"/>
  <c r="M67" i="1"/>
  <c r="I67" i="1"/>
  <c r="G67" i="1"/>
  <c r="H67" i="1" s="1"/>
  <c r="J67" i="1"/>
  <c r="E67" i="1"/>
  <c r="H56" i="1"/>
  <c r="M56" i="1"/>
  <c r="I56" i="1"/>
  <c r="J56" i="1"/>
  <c r="G56" i="1"/>
  <c r="F56" i="1"/>
  <c r="E56" i="1"/>
  <c r="M45" i="1"/>
  <c r="I45" i="1"/>
  <c r="J45" i="1"/>
  <c r="G45" i="1"/>
  <c r="F45" i="1"/>
  <c r="H45" i="1" s="1"/>
  <c r="E45" i="1"/>
  <c r="M34" i="1"/>
  <c r="I34" i="1"/>
  <c r="G34" i="1"/>
  <c r="F34" i="1"/>
  <c r="H34" i="1" s="1"/>
  <c r="E34" i="1"/>
  <c r="M23" i="1"/>
  <c r="I23" i="1"/>
  <c r="J23" i="1"/>
  <c r="G23" i="1"/>
  <c r="G29" i="1" s="1"/>
  <c r="F23" i="1"/>
  <c r="F29" i="1" s="1"/>
  <c r="E23" i="1"/>
  <c r="M12" i="1"/>
  <c r="J12" i="1"/>
  <c r="I12" i="1"/>
  <c r="E12" i="1"/>
  <c r="G12" i="1"/>
  <c r="H12" i="1" s="1"/>
  <c r="F12" i="1"/>
  <c r="B144" i="1"/>
  <c r="B122" i="1"/>
  <c r="B111" i="1"/>
  <c r="B100" i="1"/>
  <c r="B89" i="1"/>
  <c r="B78" i="1"/>
  <c r="B67" i="1"/>
  <c r="B56" i="1"/>
  <c r="B45" i="1"/>
  <c r="B34" i="1"/>
  <c r="B23" i="1"/>
  <c r="B12" i="1"/>
  <c r="G144" i="4"/>
  <c r="H144" i="4"/>
  <c r="F144" i="4"/>
  <c r="G133" i="4"/>
  <c r="H133" i="4" s="1"/>
  <c r="F133" i="4"/>
  <c r="G122" i="4"/>
  <c r="H122" i="4" s="1"/>
  <c r="F122" i="4"/>
  <c r="G111" i="4"/>
  <c r="H111" i="4"/>
  <c r="F111" i="4"/>
  <c r="G100" i="4"/>
  <c r="H100" i="4"/>
  <c r="F100" i="4"/>
  <c r="G89" i="4"/>
  <c r="H89" i="4" s="1"/>
  <c r="F89" i="4"/>
  <c r="G78" i="4"/>
  <c r="H78" i="4" s="1"/>
  <c r="F78" i="4"/>
  <c r="G67" i="4"/>
  <c r="H67" i="4"/>
  <c r="F67" i="4"/>
  <c r="G56" i="4"/>
  <c r="H56" i="4"/>
  <c r="F56" i="4"/>
  <c r="G45" i="4"/>
  <c r="H45" i="4" s="1"/>
  <c r="F45" i="4"/>
  <c r="G34" i="4"/>
  <c r="H34" i="4" s="1"/>
  <c r="F34" i="4"/>
  <c r="G23" i="4"/>
  <c r="H23" i="4"/>
  <c r="F23" i="4"/>
  <c r="G12" i="4"/>
  <c r="H12" i="4"/>
  <c r="F12" i="4"/>
  <c r="B144" i="4"/>
  <c r="B133" i="4"/>
  <c r="B122" i="4"/>
  <c r="B111" i="4"/>
  <c r="B100" i="4"/>
  <c r="B89" i="4"/>
  <c r="B78" i="4"/>
  <c r="B67" i="4"/>
  <c r="B56" i="4"/>
  <c r="B45" i="4"/>
  <c r="B34" i="4"/>
  <c r="B23" i="4"/>
  <c r="B12" i="4"/>
  <c r="G143" i="3"/>
  <c r="F143" i="3"/>
  <c r="G132" i="3"/>
  <c r="F132" i="3"/>
  <c r="G121" i="3"/>
  <c r="F121" i="3"/>
  <c r="G110" i="3"/>
  <c r="F110" i="3"/>
  <c r="G99" i="3"/>
  <c r="F99" i="3"/>
  <c r="G88" i="3"/>
  <c r="F88" i="3"/>
  <c r="G77" i="3"/>
  <c r="F77" i="3"/>
  <c r="G66" i="3"/>
  <c r="F66" i="3"/>
  <c r="G55" i="3"/>
  <c r="F55" i="3"/>
  <c r="G44" i="3"/>
  <c r="F44" i="3"/>
  <c r="G33" i="3"/>
  <c r="F33" i="3"/>
  <c r="G22" i="3"/>
  <c r="F22" i="3"/>
  <c r="G11" i="3"/>
  <c r="F11" i="3"/>
  <c r="B143" i="3"/>
  <c r="B132" i="3"/>
  <c r="B121" i="3"/>
  <c r="B110" i="3"/>
  <c r="B99" i="3"/>
  <c r="B88" i="3"/>
  <c r="B77" i="3"/>
  <c r="B66" i="3"/>
  <c r="B55" i="3"/>
  <c r="B44" i="3"/>
  <c r="B33" i="3"/>
  <c r="B22" i="3"/>
  <c r="B11" i="3"/>
  <c r="N33" i="2"/>
  <c r="M33" i="2"/>
  <c r="L33" i="2"/>
  <c r="K33" i="2"/>
  <c r="J33" i="2"/>
  <c r="I33" i="2"/>
  <c r="H33" i="2"/>
  <c r="H44" i="2" s="1"/>
  <c r="G33" i="2"/>
  <c r="F33" i="2"/>
  <c r="O33" i="2" s="1"/>
  <c r="E33" i="2"/>
  <c r="D33" i="2"/>
  <c r="C33" i="2"/>
  <c r="B33" i="2"/>
  <c r="N12" i="2"/>
  <c r="M12" i="2"/>
  <c r="L12" i="2"/>
  <c r="K12" i="2"/>
  <c r="J12" i="2"/>
  <c r="I12" i="2"/>
  <c r="I23" i="2" s="1"/>
  <c r="H12" i="2"/>
  <c r="G12" i="2"/>
  <c r="O12" i="2" s="1"/>
  <c r="F12" i="2"/>
  <c r="E12" i="2"/>
  <c r="D12" i="2"/>
  <c r="C12" i="2"/>
  <c r="B12" i="2"/>
  <c r="A33" i="2"/>
  <c r="A12" i="2"/>
  <c r="F65" i="1"/>
  <c r="F64" i="1"/>
  <c r="J87" i="1"/>
  <c r="M143" i="1"/>
  <c r="J143" i="1"/>
  <c r="I143" i="1"/>
  <c r="H143" i="1"/>
  <c r="E143" i="1"/>
  <c r="G143" i="1"/>
  <c r="F143" i="1"/>
  <c r="M132" i="1"/>
  <c r="I132" i="1"/>
  <c r="E132" i="1"/>
  <c r="G132" i="1"/>
  <c r="M121" i="1"/>
  <c r="J121" i="1"/>
  <c r="I121" i="1"/>
  <c r="E121" i="1"/>
  <c r="G121" i="1"/>
  <c r="H121" i="1" s="1"/>
  <c r="F121" i="1"/>
  <c r="M110" i="1"/>
  <c r="I110" i="1"/>
  <c r="E110" i="1"/>
  <c r="G110" i="1"/>
  <c r="M99" i="1"/>
  <c r="J99" i="1"/>
  <c r="I99" i="1"/>
  <c r="H99" i="1"/>
  <c r="E99" i="1"/>
  <c r="G99" i="1"/>
  <c r="F99" i="1"/>
  <c r="M88" i="1"/>
  <c r="I88" i="1"/>
  <c r="E88" i="1"/>
  <c r="G88" i="1"/>
  <c r="H88" i="1" s="1"/>
  <c r="J88" i="1"/>
  <c r="M77" i="1"/>
  <c r="J77" i="1"/>
  <c r="I77" i="1"/>
  <c r="E77" i="1"/>
  <c r="G77" i="1"/>
  <c r="H77" i="1" s="1"/>
  <c r="F77" i="1"/>
  <c r="M66" i="1"/>
  <c r="I66" i="1"/>
  <c r="E66" i="1"/>
  <c r="G66" i="1"/>
  <c r="H66" i="1" s="1"/>
  <c r="J66" i="1"/>
  <c r="M55" i="1"/>
  <c r="J55" i="1"/>
  <c r="I55" i="1"/>
  <c r="E55" i="1"/>
  <c r="G55" i="1"/>
  <c r="H55" i="1" s="1"/>
  <c r="F55" i="1"/>
  <c r="M44" i="1"/>
  <c r="I44" i="1"/>
  <c r="H44" i="1"/>
  <c r="E44" i="1"/>
  <c r="G44" i="1"/>
  <c r="F44" i="1"/>
  <c r="J44" i="1" s="1"/>
  <c r="M33" i="1"/>
  <c r="J33" i="1"/>
  <c r="I33" i="1"/>
  <c r="E33" i="1"/>
  <c r="G33" i="1"/>
  <c r="H33" i="1" s="1"/>
  <c r="F33" i="1"/>
  <c r="M22" i="1"/>
  <c r="J22" i="1"/>
  <c r="I22" i="1"/>
  <c r="H22" i="1"/>
  <c r="E22" i="1"/>
  <c r="G22" i="1"/>
  <c r="F22" i="1"/>
  <c r="M11" i="1"/>
  <c r="I11" i="1"/>
  <c r="E11" i="1"/>
  <c r="G11" i="1"/>
  <c r="F11" i="1"/>
  <c r="H11" i="1" s="1"/>
  <c r="B143" i="1"/>
  <c r="B132" i="1"/>
  <c r="B121" i="1"/>
  <c r="B110" i="1"/>
  <c r="B99" i="1"/>
  <c r="B88" i="1"/>
  <c r="B77" i="1"/>
  <c r="B66" i="1"/>
  <c r="B55" i="1"/>
  <c r="B44" i="1"/>
  <c r="B33" i="1"/>
  <c r="B22" i="1"/>
  <c r="B11" i="1"/>
  <c r="G155" i="4"/>
  <c r="H155" i="4" s="1"/>
  <c r="G143" i="4"/>
  <c r="H143" i="4" s="1"/>
  <c r="F143" i="4"/>
  <c r="G132" i="4"/>
  <c r="H132" i="4" s="1"/>
  <c r="F132" i="4"/>
  <c r="G121" i="4"/>
  <c r="H121" i="4"/>
  <c r="F121" i="4"/>
  <c r="G110" i="4"/>
  <c r="H110" i="4"/>
  <c r="F110" i="4"/>
  <c r="G99" i="4"/>
  <c r="H99" i="4" s="1"/>
  <c r="F99" i="4"/>
  <c r="G88" i="4"/>
  <c r="H88" i="4" s="1"/>
  <c r="F88" i="4"/>
  <c r="G77" i="4"/>
  <c r="H77" i="4"/>
  <c r="F77" i="4"/>
  <c r="G66" i="4"/>
  <c r="H66" i="4"/>
  <c r="F66" i="4"/>
  <c r="G55" i="4"/>
  <c r="H55" i="4" s="1"/>
  <c r="F55" i="4"/>
  <c r="G44" i="4"/>
  <c r="H44" i="4" s="1"/>
  <c r="F44" i="4"/>
  <c r="G33" i="4"/>
  <c r="H33" i="4"/>
  <c r="F33" i="4"/>
  <c r="G22" i="4"/>
  <c r="H22" i="4"/>
  <c r="F22" i="4"/>
  <c r="G11" i="4"/>
  <c r="H11" i="4" s="1"/>
  <c r="F11" i="4"/>
  <c r="B143" i="4"/>
  <c r="B132" i="4"/>
  <c r="B121" i="4"/>
  <c r="B110" i="4"/>
  <c r="B99" i="4"/>
  <c r="B88" i="4"/>
  <c r="B77" i="4"/>
  <c r="B66" i="4"/>
  <c r="B55" i="4"/>
  <c r="B44" i="4"/>
  <c r="B33" i="4"/>
  <c r="B22" i="4"/>
  <c r="B11" i="4"/>
  <c r="G142" i="3"/>
  <c r="F142" i="3"/>
  <c r="G131" i="3"/>
  <c r="F131" i="3"/>
  <c r="G120" i="3"/>
  <c r="F120" i="3"/>
  <c r="G109" i="3"/>
  <c r="F109" i="3"/>
  <c r="G98" i="3"/>
  <c r="F98" i="3"/>
  <c r="G87" i="3"/>
  <c r="F87" i="3"/>
  <c r="G76" i="3"/>
  <c r="F76" i="3"/>
  <c r="G65" i="3"/>
  <c r="F65" i="3"/>
  <c r="G54" i="3"/>
  <c r="F54" i="3"/>
  <c r="G43" i="3"/>
  <c r="F43" i="3"/>
  <c r="G32" i="3"/>
  <c r="F32" i="3"/>
  <c r="G21" i="3"/>
  <c r="F21" i="3"/>
  <c r="G10" i="3"/>
  <c r="F10" i="3"/>
  <c r="B142" i="3"/>
  <c r="B131" i="3"/>
  <c r="B120" i="3"/>
  <c r="B109" i="3"/>
  <c r="B98" i="3"/>
  <c r="B87" i="3"/>
  <c r="B76" i="3"/>
  <c r="B65" i="3"/>
  <c r="B54" i="3"/>
  <c r="B43" i="3"/>
  <c r="B32" i="3"/>
  <c r="B21" i="3"/>
  <c r="B10" i="3"/>
  <c r="N32" i="2"/>
  <c r="M32" i="2"/>
  <c r="M44" i="2" s="1"/>
  <c r="L32" i="2"/>
  <c r="L44" i="2" s="1"/>
  <c r="K32" i="2"/>
  <c r="J32" i="2"/>
  <c r="I32" i="2"/>
  <c r="H32" i="2"/>
  <c r="G32" i="2"/>
  <c r="F32" i="2"/>
  <c r="E32" i="2"/>
  <c r="D32" i="2"/>
  <c r="D44" i="2" s="1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C23" i="2" s="1"/>
  <c r="B11" i="2"/>
  <c r="O11" i="2" s="1"/>
  <c r="A32" i="2"/>
  <c r="A11" i="2"/>
  <c r="M142" i="1"/>
  <c r="I142" i="1"/>
  <c r="E142" i="1"/>
  <c r="G142" i="1"/>
  <c r="F142" i="1"/>
  <c r="J142" i="1" s="1"/>
  <c r="M131" i="1"/>
  <c r="J131" i="1"/>
  <c r="I131" i="1"/>
  <c r="H131" i="1"/>
  <c r="E131" i="1"/>
  <c r="G131" i="1"/>
  <c r="F131" i="1"/>
  <c r="M120" i="1"/>
  <c r="I120" i="1"/>
  <c r="E120" i="1"/>
  <c r="G120" i="1"/>
  <c r="F120" i="1"/>
  <c r="H120" i="1" s="1"/>
  <c r="M109" i="1"/>
  <c r="I109" i="1"/>
  <c r="E109" i="1"/>
  <c r="G109" i="1"/>
  <c r="M98" i="1"/>
  <c r="I98" i="1"/>
  <c r="E98" i="1"/>
  <c r="G98" i="1"/>
  <c r="H98" i="1" s="1"/>
  <c r="M87" i="1"/>
  <c r="I87" i="1"/>
  <c r="E87" i="1"/>
  <c r="G87" i="1"/>
  <c r="G95" i="1" s="1"/>
  <c r="M76" i="1"/>
  <c r="J76" i="1"/>
  <c r="I76" i="1"/>
  <c r="E76" i="1"/>
  <c r="G76" i="1"/>
  <c r="H76" i="1" s="1"/>
  <c r="F76" i="1"/>
  <c r="M65" i="1"/>
  <c r="I65" i="1"/>
  <c r="E65" i="1"/>
  <c r="G65" i="1"/>
  <c r="G73" i="1" s="1"/>
  <c r="H73" i="1" s="1"/>
  <c r="J65" i="1"/>
  <c r="M54" i="1"/>
  <c r="J54" i="1"/>
  <c r="I54" i="1"/>
  <c r="E54" i="1"/>
  <c r="G54" i="1"/>
  <c r="H54" i="1" s="1"/>
  <c r="F54" i="1"/>
  <c r="M43" i="1"/>
  <c r="J43" i="1"/>
  <c r="I43" i="1"/>
  <c r="H43" i="1"/>
  <c r="E43" i="1"/>
  <c r="G43" i="1"/>
  <c r="F43" i="1"/>
  <c r="M32" i="1"/>
  <c r="I32" i="1"/>
  <c r="E32" i="1"/>
  <c r="G32" i="1"/>
  <c r="F32" i="1"/>
  <c r="F40" i="1" s="1"/>
  <c r="M21" i="1"/>
  <c r="J21" i="1"/>
  <c r="I21" i="1"/>
  <c r="H21" i="1"/>
  <c r="E21" i="1"/>
  <c r="G21" i="1"/>
  <c r="F21" i="1"/>
  <c r="M10" i="1"/>
  <c r="I10" i="1"/>
  <c r="E10" i="1"/>
  <c r="G10" i="1"/>
  <c r="G18" i="1" s="1"/>
  <c r="F10" i="1"/>
  <c r="H10" i="1" s="1"/>
  <c r="B142" i="1"/>
  <c r="B131" i="1"/>
  <c r="B120" i="1"/>
  <c r="B109" i="1"/>
  <c r="B98" i="1"/>
  <c r="B87" i="1"/>
  <c r="B76" i="1"/>
  <c r="B65" i="1"/>
  <c r="B54" i="1"/>
  <c r="B43" i="1"/>
  <c r="B32" i="1"/>
  <c r="B21" i="1"/>
  <c r="B10" i="1"/>
  <c r="B142" i="4"/>
  <c r="B131" i="4"/>
  <c r="B120" i="4"/>
  <c r="B109" i="4"/>
  <c r="B98" i="4"/>
  <c r="B87" i="4"/>
  <c r="B76" i="4"/>
  <c r="B65" i="4"/>
  <c r="B54" i="4"/>
  <c r="B43" i="4"/>
  <c r="B32" i="4"/>
  <c r="B21" i="4"/>
  <c r="B10" i="4"/>
  <c r="B141" i="3"/>
  <c r="B130" i="3"/>
  <c r="B119" i="3"/>
  <c r="B108" i="3"/>
  <c r="B97" i="3"/>
  <c r="B86" i="3"/>
  <c r="B75" i="3"/>
  <c r="B64" i="3"/>
  <c r="B53" i="3"/>
  <c r="B42" i="3"/>
  <c r="B31" i="3"/>
  <c r="B20" i="3"/>
  <c r="B9" i="3"/>
  <c r="A31" i="2"/>
  <c r="A10" i="2"/>
  <c r="G141" i="1"/>
  <c r="G130" i="1"/>
  <c r="H130" i="1" s="1"/>
  <c r="F130" i="1"/>
  <c r="B130" i="1"/>
  <c r="G119" i="1"/>
  <c r="F119" i="1"/>
  <c r="J119" i="1" s="1"/>
  <c r="G108" i="1"/>
  <c r="H108" i="1" s="1"/>
  <c r="G97" i="1"/>
  <c r="F97" i="1"/>
  <c r="H97" i="1" s="1"/>
  <c r="G86" i="1"/>
  <c r="H86" i="1" s="1"/>
  <c r="G75" i="1"/>
  <c r="F75" i="1"/>
  <c r="G64" i="1"/>
  <c r="G53" i="1"/>
  <c r="F53" i="1"/>
  <c r="F62" i="1" s="1"/>
  <c r="G42" i="1"/>
  <c r="G51" i="1" s="1"/>
  <c r="F42" i="1"/>
  <c r="F51" i="1" s="1"/>
  <c r="H51" i="1" s="1"/>
  <c r="G31" i="1"/>
  <c r="G40" i="1" s="1"/>
  <c r="J31" i="1"/>
  <c r="G20" i="1"/>
  <c r="F20" i="1"/>
  <c r="G9" i="1"/>
  <c r="F9" i="1"/>
  <c r="B141" i="1"/>
  <c r="B119" i="1"/>
  <c r="B108" i="1"/>
  <c r="B97" i="1"/>
  <c r="B86" i="1"/>
  <c r="B75" i="1"/>
  <c r="B64" i="1"/>
  <c r="B53" i="1"/>
  <c r="B42" i="1"/>
  <c r="B31" i="1"/>
  <c r="B20" i="1"/>
  <c r="B9" i="1"/>
  <c r="J130" i="1"/>
  <c r="J141" i="1"/>
  <c r="J75" i="1"/>
  <c r="J64" i="1"/>
  <c r="J53" i="1"/>
  <c r="J9" i="1"/>
  <c r="L51" i="1"/>
  <c r="F65" i="4"/>
  <c r="F64" i="3"/>
  <c r="M64" i="1"/>
  <c r="E64" i="1"/>
  <c r="F142" i="4"/>
  <c r="F141" i="3"/>
  <c r="G31" i="2"/>
  <c r="G44" i="2" s="1"/>
  <c r="G10" i="2"/>
  <c r="G23" i="2" s="1"/>
  <c r="M141" i="1"/>
  <c r="E141" i="1"/>
  <c r="E74" i="4"/>
  <c r="D74" i="4"/>
  <c r="C74" i="4"/>
  <c r="G65" i="4"/>
  <c r="H65" i="4"/>
  <c r="E73" i="3"/>
  <c r="D73" i="3"/>
  <c r="F73" i="3" s="1"/>
  <c r="C73" i="3"/>
  <c r="G73" i="3" s="1"/>
  <c r="G64" i="3"/>
  <c r="L73" i="1"/>
  <c r="D73" i="1"/>
  <c r="C73" i="1"/>
  <c r="E73" i="1" s="1"/>
  <c r="I64" i="1"/>
  <c r="G142" i="4"/>
  <c r="H142" i="4"/>
  <c r="G141" i="3"/>
  <c r="I141" i="1"/>
  <c r="D18" i="1"/>
  <c r="E18" i="1" s="1"/>
  <c r="D29" i="1"/>
  <c r="E29" i="1" s="1"/>
  <c r="D40" i="1"/>
  <c r="D152" i="1" s="1"/>
  <c r="D51" i="1"/>
  <c r="D62" i="1"/>
  <c r="D84" i="1"/>
  <c r="D95" i="1"/>
  <c r="D106" i="1"/>
  <c r="D117" i="1"/>
  <c r="D128" i="1"/>
  <c r="E128" i="1" s="1"/>
  <c r="D139" i="1"/>
  <c r="D150" i="1"/>
  <c r="C150" i="1"/>
  <c r="I150" i="1" s="1"/>
  <c r="C151" i="4"/>
  <c r="C153" i="4" s="1"/>
  <c r="D151" i="4"/>
  <c r="C150" i="3"/>
  <c r="D150" i="3"/>
  <c r="E19" i="4"/>
  <c r="E30" i="4"/>
  <c r="E41" i="4"/>
  <c r="E52" i="4"/>
  <c r="E63" i="4"/>
  <c r="F63" i="4" s="1"/>
  <c r="E85" i="4"/>
  <c r="E96" i="4"/>
  <c r="F96" i="4" s="1"/>
  <c r="E107" i="4"/>
  <c r="E153" i="4" s="1"/>
  <c r="E118" i="4"/>
  <c r="E129" i="4"/>
  <c r="E140" i="4"/>
  <c r="E151" i="4"/>
  <c r="D19" i="4"/>
  <c r="D30" i="4"/>
  <c r="F30" i="4"/>
  <c r="D41" i="4"/>
  <c r="F41" i="4"/>
  <c r="D52" i="4"/>
  <c r="F52" i="4" s="1"/>
  <c r="D63" i="4"/>
  <c r="G63" i="4" s="1"/>
  <c r="H63" i="4" s="1"/>
  <c r="D85" i="4"/>
  <c r="G85" i="4" s="1"/>
  <c r="H85" i="4" s="1"/>
  <c r="D96" i="4"/>
  <c r="D107" i="4"/>
  <c r="D118" i="4"/>
  <c r="F118" i="4" s="1"/>
  <c r="D129" i="4"/>
  <c r="G129" i="4" s="1"/>
  <c r="H129" i="4" s="1"/>
  <c r="D140" i="4"/>
  <c r="F140" i="4"/>
  <c r="C19" i="4"/>
  <c r="G19" i="4" s="1"/>
  <c r="H19" i="4" s="1"/>
  <c r="C30" i="4"/>
  <c r="G30" i="4" s="1"/>
  <c r="H30" i="4" s="1"/>
  <c r="C41" i="4"/>
  <c r="G41" i="4" s="1"/>
  <c r="H41" i="4" s="1"/>
  <c r="C52" i="4"/>
  <c r="C63" i="4"/>
  <c r="C85" i="4"/>
  <c r="C96" i="4"/>
  <c r="G96" i="4" s="1"/>
  <c r="H96" i="4" s="1"/>
  <c r="C107" i="4"/>
  <c r="G107" i="4" s="1"/>
  <c r="H107" i="4" s="1"/>
  <c r="C118" i="4"/>
  <c r="G118" i="4" s="1"/>
  <c r="H118" i="4" s="1"/>
  <c r="C129" i="4"/>
  <c r="C140" i="4"/>
  <c r="G140" i="4"/>
  <c r="H140" i="4" s="1"/>
  <c r="F109" i="4"/>
  <c r="E18" i="3"/>
  <c r="E29" i="3"/>
  <c r="E40" i="3"/>
  <c r="F40" i="3" s="1"/>
  <c r="E51" i="3"/>
  <c r="E62" i="3"/>
  <c r="F62" i="3" s="1"/>
  <c r="E84" i="3"/>
  <c r="E152" i="3" s="1"/>
  <c r="E95" i="3"/>
  <c r="E106" i="3"/>
  <c r="E117" i="3"/>
  <c r="E128" i="3"/>
  <c r="E139" i="3"/>
  <c r="E150" i="3"/>
  <c r="D18" i="3"/>
  <c r="F18" i="3"/>
  <c r="D29" i="3"/>
  <c r="F29" i="3"/>
  <c r="D40" i="3"/>
  <c r="G40" i="3" s="1"/>
  <c r="D51" i="3"/>
  <c r="F51" i="3" s="1"/>
  <c r="D62" i="3"/>
  <c r="D84" i="3"/>
  <c r="D95" i="3"/>
  <c r="D106" i="3"/>
  <c r="D117" i="3"/>
  <c r="F117" i="3" s="1"/>
  <c r="D128" i="3"/>
  <c r="D139" i="3"/>
  <c r="G139" i="3" s="1"/>
  <c r="C18" i="3"/>
  <c r="G18" i="3" s="1"/>
  <c r="C29" i="3"/>
  <c r="C40" i="3"/>
  <c r="C51" i="3"/>
  <c r="C62" i="3"/>
  <c r="C84" i="3"/>
  <c r="C95" i="3"/>
  <c r="G95" i="3" s="1"/>
  <c r="C106" i="3"/>
  <c r="C117" i="3"/>
  <c r="G117" i="3"/>
  <c r="C128" i="3"/>
  <c r="G128" i="3" s="1"/>
  <c r="C139" i="3"/>
  <c r="C152" i="3" s="1"/>
  <c r="F108" i="3"/>
  <c r="M108" i="1"/>
  <c r="E108" i="1"/>
  <c r="L18" i="1"/>
  <c r="L29" i="1"/>
  <c r="L40" i="1"/>
  <c r="L62" i="1"/>
  <c r="L84" i="1"/>
  <c r="L95" i="1"/>
  <c r="L106" i="1"/>
  <c r="M106" i="1" s="1"/>
  <c r="L117" i="1"/>
  <c r="L128" i="1"/>
  <c r="M128" i="1" s="1"/>
  <c r="L139" i="1"/>
  <c r="M139" i="1" s="1"/>
  <c r="K18" i="1"/>
  <c r="M18" i="1" s="1"/>
  <c r="K29" i="1"/>
  <c r="C29" i="1"/>
  <c r="C40" i="1"/>
  <c r="C51" i="1"/>
  <c r="C62" i="1"/>
  <c r="E62" i="1" s="1"/>
  <c r="C84" i="1"/>
  <c r="E84" i="1" s="1"/>
  <c r="C95" i="1"/>
  <c r="C106" i="1"/>
  <c r="C117" i="1"/>
  <c r="C128" i="1"/>
  <c r="C139" i="1"/>
  <c r="E119" i="1"/>
  <c r="I119" i="1"/>
  <c r="M119" i="1"/>
  <c r="K117" i="1"/>
  <c r="M117" i="1" s="1"/>
  <c r="F131" i="4"/>
  <c r="K31" i="2"/>
  <c r="K44" i="2" s="1"/>
  <c r="K10" i="2"/>
  <c r="K51" i="1"/>
  <c r="J51" i="1" s="1"/>
  <c r="K62" i="1"/>
  <c r="M62" i="1" s="1"/>
  <c r="K84" i="1"/>
  <c r="K95" i="1"/>
  <c r="K106" i="1"/>
  <c r="I106" i="1" s="1"/>
  <c r="K139" i="1"/>
  <c r="I108" i="1"/>
  <c r="G109" i="4"/>
  <c r="H109" i="4" s="1"/>
  <c r="G108" i="3"/>
  <c r="F87" i="4"/>
  <c r="F86" i="3"/>
  <c r="N31" i="2"/>
  <c r="M31" i="2"/>
  <c r="L31" i="2"/>
  <c r="J31" i="2"/>
  <c r="I31" i="2"/>
  <c r="I44" i="2" s="1"/>
  <c r="H31" i="2"/>
  <c r="F31" i="2"/>
  <c r="F44" i="2" s="1"/>
  <c r="E31" i="2"/>
  <c r="E44" i="2" s="1"/>
  <c r="C31" i="2"/>
  <c r="C44" i="2" s="1"/>
  <c r="B31" i="2"/>
  <c r="B44" i="2" s="1"/>
  <c r="M86" i="1"/>
  <c r="E86" i="1"/>
  <c r="I10" i="2"/>
  <c r="G87" i="4"/>
  <c r="H87" i="4"/>
  <c r="G98" i="4"/>
  <c r="H98" i="4"/>
  <c r="F98" i="4"/>
  <c r="G86" i="3"/>
  <c r="I86" i="1"/>
  <c r="F10" i="4"/>
  <c r="G10" i="4"/>
  <c r="H10" i="4" s="1"/>
  <c r="I9" i="1"/>
  <c r="I20" i="1"/>
  <c r="I42" i="1"/>
  <c r="I53" i="1"/>
  <c r="I75" i="1"/>
  <c r="I97" i="1"/>
  <c r="I130" i="1"/>
  <c r="E9" i="1"/>
  <c r="M9" i="1"/>
  <c r="E20" i="1"/>
  <c r="M20" i="1"/>
  <c r="E31" i="1"/>
  <c r="E42" i="1"/>
  <c r="M42" i="1"/>
  <c r="E53" i="1"/>
  <c r="M53" i="1"/>
  <c r="E75" i="1"/>
  <c r="M75" i="1"/>
  <c r="E97" i="1"/>
  <c r="M97" i="1"/>
  <c r="E130" i="1"/>
  <c r="M130" i="1"/>
  <c r="F21" i="4"/>
  <c r="G21" i="4"/>
  <c r="H21" i="4" s="1"/>
  <c r="F32" i="4"/>
  <c r="G32" i="4"/>
  <c r="H32" i="4"/>
  <c r="F43" i="4"/>
  <c r="G43" i="4"/>
  <c r="H43" i="4" s="1"/>
  <c r="F54" i="4"/>
  <c r="G54" i="4"/>
  <c r="H54" i="4" s="1"/>
  <c r="F76" i="4"/>
  <c r="G76" i="4"/>
  <c r="H76" i="4" s="1"/>
  <c r="F120" i="4"/>
  <c r="G120" i="4"/>
  <c r="H120" i="4"/>
  <c r="G131" i="4"/>
  <c r="H131" i="4"/>
  <c r="F9" i="3"/>
  <c r="F20" i="3"/>
  <c r="G20" i="3"/>
  <c r="F31" i="3"/>
  <c r="G31" i="3"/>
  <c r="F42" i="3"/>
  <c r="G42" i="3"/>
  <c r="F53" i="3"/>
  <c r="G53" i="3"/>
  <c r="F75" i="3"/>
  <c r="G75" i="3"/>
  <c r="F97" i="3"/>
  <c r="G97" i="3"/>
  <c r="F119" i="3"/>
  <c r="G119" i="3"/>
  <c r="F130" i="3"/>
  <c r="G130" i="3"/>
  <c r="G9" i="3"/>
  <c r="B10" i="2"/>
  <c r="C10" i="2"/>
  <c r="D10" i="2"/>
  <c r="E10" i="2"/>
  <c r="F10" i="2"/>
  <c r="H10" i="2"/>
  <c r="H23" i="2" s="1"/>
  <c r="J10" i="2"/>
  <c r="L10" i="2"/>
  <c r="M10" i="2"/>
  <c r="M23" i="2" s="1"/>
  <c r="N10" i="2"/>
  <c r="N23" i="2" s="1"/>
  <c r="I31" i="1"/>
  <c r="M31" i="1"/>
  <c r="K40" i="1"/>
  <c r="K152" i="1" s="1"/>
  <c r="D31" i="2"/>
  <c r="L150" i="1"/>
  <c r="K150" i="1"/>
  <c r="M150" i="1" s="1"/>
  <c r="K73" i="1"/>
  <c r="J73" i="1" s="1"/>
  <c r="K128" i="1"/>
  <c r="F155" i="4"/>
  <c r="H53" i="1"/>
  <c r="H75" i="1"/>
  <c r="H20" i="1"/>
  <c r="H9" i="1"/>
  <c r="H64" i="1"/>
  <c r="F73" i="1"/>
  <c r="J97" i="1"/>
  <c r="J20" i="1"/>
  <c r="J42" i="1"/>
  <c r="G128" i="1"/>
  <c r="H141" i="1"/>
  <c r="G106" i="1"/>
  <c r="H106" i="1" s="1"/>
  <c r="G154" i="3"/>
  <c r="J86" i="1"/>
  <c r="J108" i="1"/>
  <c r="F150" i="3"/>
  <c r="H58" i="1"/>
  <c r="H110" i="1"/>
  <c r="J13" i="1"/>
  <c r="B14" i="2"/>
  <c r="C18" i="1"/>
  <c r="I18" i="1"/>
  <c r="E13" i="1"/>
  <c r="I13" i="1"/>
  <c r="E154" i="1"/>
  <c r="I154" i="1"/>
  <c r="F151" i="4"/>
  <c r="F19" i="4"/>
  <c r="G51" i="3"/>
  <c r="I40" i="1"/>
  <c r="H36" i="1"/>
  <c r="J113" i="1"/>
  <c r="M154" i="1"/>
  <c r="I95" i="1"/>
  <c r="I51" i="1"/>
  <c r="E51" i="1"/>
  <c r="M29" i="1"/>
  <c r="G151" i="4"/>
  <c r="H151" i="4" s="1"/>
  <c r="F74" i="4"/>
  <c r="G74" i="4"/>
  <c r="H74" i="4" s="1"/>
  <c r="G106" i="3"/>
  <c r="G150" i="3"/>
  <c r="F128" i="3"/>
  <c r="F106" i="3"/>
  <c r="F95" i="3"/>
  <c r="F84" i="3"/>
  <c r="G84" i="3"/>
  <c r="G62" i="3"/>
  <c r="G29" i="3"/>
  <c r="H59" i="1"/>
  <c r="H69" i="1"/>
  <c r="H89" i="1"/>
  <c r="O37" i="2"/>
  <c r="J98" i="1"/>
  <c r="F106" i="1"/>
  <c r="J134" i="1"/>
  <c r="H136" i="1"/>
  <c r="E150" i="1"/>
  <c r="I139" i="1"/>
  <c r="E139" i="1"/>
  <c r="E117" i="1"/>
  <c r="E106" i="1"/>
  <c r="M95" i="1"/>
  <c r="L152" i="1"/>
  <c r="E95" i="1"/>
  <c r="M84" i="1"/>
  <c r="I73" i="1"/>
  <c r="M40" i="1"/>
  <c r="E40" i="1"/>
  <c r="I29" i="1"/>
  <c r="K23" i="2"/>
  <c r="D23" i="2"/>
  <c r="L23" i="2"/>
  <c r="O32" i="2"/>
  <c r="O14" i="2"/>
  <c r="J23" i="2"/>
  <c r="E23" i="2"/>
  <c r="O13" i="2"/>
  <c r="B23" i="2"/>
  <c r="J29" i="1" l="1"/>
  <c r="H29" i="1"/>
  <c r="M152" i="1"/>
  <c r="J40" i="1"/>
  <c r="H40" i="1"/>
  <c r="G152" i="1"/>
  <c r="J128" i="1"/>
  <c r="J62" i="1"/>
  <c r="H62" i="1"/>
  <c r="F139" i="3"/>
  <c r="J10" i="1"/>
  <c r="F107" i="4"/>
  <c r="I128" i="1"/>
  <c r="G139" i="1"/>
  <c r="G62" i="1"/>
  <c r="J32" i="1"/>
  <c r="J11" i="1"/>
  <c r="J57" i="1"/>
  <c r="H14" i="1"/>
  <c r="H15" i="1"/>
  <c r="H114" i="1"/>
  <c r="J104" i="1"/>
  <c r="H137" i="1"/>
  <c r="H23" i="1"/>
  <c r="O31" i="2"/>
  <c r="O44" i="2" s="1"/>
  <c r="D153" i="4"/>
  <c r="F84" i="1"/>
  <c r="F18" i="1"/>
  <c r="F95" i="1"/>
  <c r="G117" i="1"/>
  <c r="H117" i="1" s="1"/>
  <c r="J120" i="1"/>
  <c r="H142" i="1"/>
  <c r="H35" i="1"/>
  <c r="H146" i="1"/>
  <c r="H82" i="1"/>
  <c r="C152" i="1"/>
  <c r="E152" i="1" s="1"/>
  <c r="I84" i="1"/>
  <c r="J106" i="1"/>
  <c r="F85" i="4"/>
  <c r="H109" i="1"/>
  <c r="J34" i="1"/>
  <c r="H27" i="1"/>
  <c r="D152" i="3"/>
  <c r="F129" i="4"/>
  <c r="H65" i="1"/>
  <c r="F150" i="1"/>
  <c r="O10" i="2"/>
  <c r="O23" i="2" s="1"/>
  <c r="I62" i="1"/>
  <c r="I117" i="1"/>
  <c r="H80" i="1"/>
  <c r="H31" i="1"/>
  <c r="G52" i="4"/>
  <c r="H52" i="4" s="1"/>
  <c r="J132" i="1"/>
  <c r="F139" i="1"/>
  <c r="J60" i="1"/>
  <c r="H119" i="1"/>
  <c r="J150" i="1"/>
  <c r="M51" i="1"/>
  <c r="F128" i="1"/>
  <c r="H128" i="1" s="1"/>
  <c r="M73" i="1"/>
  <c r="H42" i="1"/>
  <c r="H32" i="1"/>
  <c r="F154" i="1"/>
  <c r="J117" i="1"/>
  <c r="J139" i="1" l="1"/>
  <c r="H139" i="1"/>
  <c r="F152" i="3"/>
  <c r="G152" i="3"/>
  <c r="H84" i="1"/>
  <c r="J84" i="1"/>
  <c r="F153" i="4"/>
  <c r="G153" i="4"/>
  <c r="H153" i="4" s="1"/>
  <c r="I152" i="1"/>
  <c r="H18" i="1"/>
  <c r="J18" i="1"/>
  <c r="H95" i="1"/>
  <c r="J95" i="1"/>
  <c r="H154" i="1"/>
  <c r="J154" i="1"/>
  <c r="H150" i="1"/>
  <c r="F152" i="1"/>
  <c r="H152" i="1" l="1"/>
  <c r="J152" i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<sst xmlns="http://schemas.openxmlformats.org/spreadsheetml/2006/main" count="192" uniqueCount="75">
  <si>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</si>
  <si>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</si>
  <si>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</si>
  <si>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</si>
  <si>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</si>
  <si>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</si>
  <si>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</si>
  <si>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</si>
  <si>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</si>
  <si>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</si>
  <si>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</si>
  <si>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</si>
  <si>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</si>
  <si>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</si>
  <si>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</si>
  <si>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</si>
  <si>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</si>
  <si>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</si>
  <si>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</si>
  <si>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</si>
  <si>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</si>
  <si>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</si>
  <si>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</si>
  <si>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</si>
  <si>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</si>
  <si>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</si>
  <si>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</si>
  <si>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</si>
  <si>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</si>
  <si>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</si>
  <si>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</si>
  <si>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</si>
  <si>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</si>
  <si>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</si>
  <si>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</si>
  <si>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</si>
  <si>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</si>
  <si>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</si>
  <si>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</si>
  <si>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</si>
  <si>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</si>
  <si>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</si>
  <si>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</si>
  <si>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</si>
  <si>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</si>
  <si>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</si>
  <si>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</si>
  <si>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</si>
  <si>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</si>
  <si>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</si>
  <si>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</si>
  <si>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</si>
  <si>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</si>
  <si>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</si>
  <si>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</si>
  <si>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</si>
  <si>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</si>
  <si>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</si>
  <si>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</si>
  <si>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</si>
  <si>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</si>
  <si>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</si>
  <si>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</si>
  <si>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</si>
  <si>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</si>
  <si>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</si>
  <si>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</si>
  <si>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</si>
  <si>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</si>
  <si>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FEBRUARY 29, 2020</t>
  </si>
  <si>
    <t>(as reported on the tax remittal database dtd 3/9/20)</t>
  </si>
  <si>
    <t>FOR THE MONTH ENDED:   FEBRUARY 29, 2020</t>
  </si>
  <si>
    <t>THRU MONTH ENDED:   FEBRUARY 29, 2020</t>
  </si>
  <si>
    <t>(as reported on the tax remittal database as of 3/9/20)</t>
  </si>
  <si>
    <t>THRU MONTH ENDED:     FEBRUARY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</si>
</sst>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5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4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5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3" fillId="0" borderId="0" xfId="2" applyNumberFormat="1" applyFont="1" applyAlignment="1"/>
    <xf numFmtId="0" fontId="13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4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26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7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t="shared" ref="E9:E16" si="0">(+C9-D9)/D9</f>
        <v>4.7285202863961817E-2</v>
      </c>
      <c r="F9" s="21">
        <f>+C9-121652</f>
        <v>152167</v>
      </c>
      <c r="G9" s="21">
        <f>+D9-122888</f>
        <v>138568</v>
      </c>
      <c r="H9" s="23">
        <f t="shared" ref="H9:H16" si="1">(+F9-G9)/G9</f>
        <v>9.8139541596905494E-2</v>
      </c>
      <c r="I9" s="24">
        <f t="shared" ref="I9:I16" si="2">K9/C9</f>
        <v>53.293904623126956</v>
      </c>
      <c r="J9" s="24">
        <f t="shared" ref="J9:J16" si="3">K9/F9</f>
        <v>95.9004493089829</v>
      </c>
      <c r="K9" s="21">
        <v>14592883.67</v>
      </c>
      <c r="L9" s="21">
        <v>13375050.09</v>
      </c>
      <c r="M9" s="25">
        <f t="shared" ref="M9:M16" si="4"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3.9468102279937078E-2</v>
      </c>
      <c r="F10" s="21">
        <f>+C10-123357</f>
        <v>153523</v>
      </c>
      <c r="G10" s="21">
        <f>+D10-122166</f>
        <v>144201</v>
      </c>
      <c r="H10" s="23">
        <f t="shared" si="1"/>
        <v>6.4645876242189718E-2</v>
      </c>
      <c r="I10" s="24">
        <f t="shared" si="2"/>
        <v>52.376661297312914</v>
      </c>
      <c r="J10" s="24">
        <f t="shared" si="3"/>
        <v>94.461741758563861</v>
      </c>
      <c r="K10" s="21">
        <v>14502049.98</v>
      </c>
      <c r="L10" s="21">
        <v>13957901.84</v>
      </c>
      <c r="M10" s="25">
        <f t="shared" si="4"/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-3.6360118810529071E-2</v>
      </c>
      <c r="F11" s="21">
        <f>+C11-112781</f>
        <v>141247</v>
      </c>
      <c r="G11" s="21">
        <f>+D11-122145</f>
        <v>141468</v>
      </c>
      <c r="H11" s="23">
        <f t="shared" si="1"/>
        <v>-1.56219074278282E-3</v>
      </c>
      <c r="I11" s="24">
        <f t="shared" si="2"/>
        <v>50.285363739430302</v>
      </c>
      <c r="J11" s="24">
        <f t="shared" si="3"/>
        <v>90.43654293542518</v>
      </c>
      <c r="K11" s="21">
        <v>12773890.380000001</v>
      </c>
      <c r="L11" s="21">
        <v>13536102.300000001</v>
      </c>
      <c r="M11" s="25">
        <f t="shared" si="4"/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-5.0298399579175229E-2</v>
      </c>
      <c r="F12" s="21">
        <f>+C12-113545</f>
        <v>137407</v>
      </c>
      <c r="G12" s="21">
        <f>+D12-121413</f>
        <v>142830</v>
      </c>
      <c r="H12" s="23">
        <f t="shared" si="1"/>
        <v>-3.7968213960652523E-2</v>
      </c>
      <c r="I12" s="24">
        <f t="shared" si="2"/>
        <v>53.295277224329752</v>
      </c>
      <c r="J12" s="24">
        <f t="shared" si="3"/>
        <v>97.335335244929297</v>
      </c>
      <c r="K12" s="21">
        <v>13374556.41</v>
      </c>
      <c r="L12" s="21">
        <v>13965262.380000001</v>
      </c>
      <c r="M12" s="25">
        <f t="shared" si="4"/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7.7313064523783157E-2</v>
      </c>
      <c r="F13" s="21">
        <f>+C13-124199</f>
        <v>148219</v>
      </c>
      <c r="G13" s="21">
        <f>+D13-117772</f>
        <v>135096</v>
      </c>
      <c r="H13" s="23">
        <f t="shared" si="1"/>
        <v>9.713833126073311E-2</v>
      </c>
      <c r="I13" s="24">
        <f t="shared" si="2"/>
        <v>51.274348648033538</v>
      </c>
      <c r="J13" s="24">
        <f t="shared" si="3"/>
        <v>94.239304745005697</v>
      </c>
      <c r="K13" s="21">
        <v>13968055.51</v>
      </c>
      <c r="L13" s="21">
        <v>13690400.939999999</v>
      </c>
      <c r="M13" s="25">
        <f t="shared" si="4"/>
        <v>2.0280967023307669E-2</v>
      </c>
      <c r="N13" s="10"/>
      <c r="R13" s="2"/>
    </row>
    <row r="14" spans="1:18" ht="15.75" x14ac:dyDescent="0.2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-1.8555145768085011E-2</v>
      </c>
      <c r="F14" s="21">
        <f>+C14-128827</f>
        <v>153518</v>
      </c>
      <c r="G14" s="21">
        <f>+D14-136878</f>
        <v>150805</v>
      </c>
      <c r="H14" s="23">
        <f t="shared" si="1"/>
        <v>1.7990119690991679E-2</v>
      </c>
      <c r="I14" s="24">
        <f t="shared" si="2"/>
        <v>51.87481588128</v>
      </c>
      <c r="J14" s="24">
        <f t="shared" si="3"/>
        <v>95.406368569158019</v>
      </c>
      <c r="K14" s="21">
        <v>14646594.890000001</v>
      </c>
      <c r="L14" s="21">
        <v>15302336.49</v>
      </c>
      <c r="M14" s="25">
        <f t="shared" si="4"/>
        <v>-4.2852384041386325E-2</v>
      </c>
      <c r="N14" s="10"/>
      <c r="R14" s="2"/>
    </row>
    <row r="15" spans="1:18" ht="15.75" x14ac:dyDescent="0.25">
      <c r="A15" s="19"/>
      <c r="B15" s="20">
        <f>DATE(2020,1,1)</f>
        <v>43831</v>
      </c>
      <c r="C15" s="21">
        <v>244941</v>
      </c>
      <c r="D15" s="22">
        <v>239286</v>
      </c>
      <c r="E15" s="23">
        <f t="shared" si="0"/>
        <v>2.3632807602617788E-2</v>
      </c>
      <c r="F15" s="21">
        <f>+C15-113581</f>
        <v>131360</v>
      </c>
      <c r="G15" s="21">
        <f>+D15-112115</f>
        <v>127171</v>
      </c>
      <c r="H15" s="23">
        <f t="shared" si="1"/>
        <v>3.2939899819927503E-2</v>
      </c>
      <c r="I15" s="24">
        <f t="shared" si="2"/>
        <v>51.153704483936949</v>
      </c>
      <c r="J15" s="24">
        <f t="shared" si="3"/>
        <v>95.383979369671124</v>
      </c>
      <c r="K15" s="21">
        <v>12529639.529999999</v>
      </c>
      <c r="L15" s="21">
        <v>12487856.060000001</v>
      </c>
      <c r="M15" s="25">
        <f t="shared" si="4"/>
        <v>3.3459282201238638E-3</v>
      </c>
      <c r="N15" s="10"/>
      <c r="R15" s="2"/>
    </row>
    <row r="16" spans="1:18" ht="15.75" x14ac:dyDescent="0.25">
      <c r="A16" s="19"/>
      <c r="B16" s="20">
        <f>DATE(2020,2,1)</f>
        <v>43862</v>
      </c>
      <c r="C16" s="21">
        <v>260941</v>
      </c>
      <c r="D16" s="22">
        <v>236408</v>
      </c>
      <c r="E16" s="23">
        <f t="shared" si="0"/>
        <v>0.10377398395993367</v>
      </c>
      <c r="F16" s="21">
        <f>+C16-121501</f>
        <v>139440</v>
      </c>
      <c r="G16" s="21">
        <f>+D16-111522</f>
        <v>124886</v>
      </c>
      <c r="H16" s="23">
        <f t="shared" si="1"/>
        <v>0.11653828291401759</v>
      </c>
      <c r="I16" s="24">
        <f t="shared" si="2"/>
        <v>52.944141587561937</v>
      </c>
      <c r="J16" s="24">
        <f t="shared" si="3"/>
        <v>99.077002653471027</v>
      </c>
      <c r="K16" s="21">
        <v>13815297.25</v>
      </c>
      <c r="L16" s="21">
        <v>12495205.26</v>
      </c>
      <c r="M16" s="25">
        <f t="shared" si="4"/>
        <v>0.1056478835306464</v>
      </c>
      <c r="N16" s="10"/>
      <c r="R16" s="2"/>
    </row>
    <row r="17" spans="1:18" ht="15.75" customHeight="1" thickBot="1" x14ac:dyDescent="0.3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7.25" thickTop="1" thickBot="1" x14ac:dyDescent="0.3">
      <c r="A18" s="26" t="s">
        <v>14</v>
      </c>
      <c r="B18" s="27"/>
      <c r="C18" s="28">
        <f>SUM(C9:C17)</f>
        <v>2116324</v>
      </c>
      <c r="D18" s="28">
        <f>SUM(D9:D17)</f>
        <v>2071924</v>
      </c>
      <c r="E18" s="278">
        <f>(+C18-D18)/D18</f>
        <v>2.1429357447473943E-2</v>
      </c>
      <c r="F18" s="28">
        <f>SUM(F9:F17)</f>
        <v>1156881</v>
      </c>
      <c r="G18" s="28">
        <f>SUM(G9:G17)</f>
        <v>1105025</v>
      </c>
      <c r="H18" s="30">
        <f>(+F18-G18)/G18</f>
        <v>4.6927445080428044E-2</v>
      </c>
      <c r="I18" s="31">
        <f>K18/C18</f>
        <v>52.07282420839153</v>
      </c>
      <c r="J18" s="31">
        <f>K18/F18</f>
        <v>95.258689199667046</v>
      </c>
      <c r="K18" s="28">
        <f>SUM(K9:K17)</f>
        <v>110202967.62</v>
      </c>
      <c r="L18" s="28">
        <f>SUM(L9:L17)</f>
        <v>108810115.36000001</v>
      </c>
      <c r="M18" s="32">
        <f>(+K18-L18)/L18</f>
        <v>1.2800760806030913E-2</v>
      </c>
      <c r="N18" s="10"/>
      <c r="R18" s="2"/>
    </row>
    <row r="19" spans="1:18" ht="15.75" customHeight="1" thickTop="1" x14ac:dyDescent="0.25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.75" x14ac:dyDescent="0.25">
      <c r="A20" s="19" t="s">
        <v>15</v>
      </c>
      <c r="B20" s="20">
        <f>DATE(2019,7,1)</f>
        <v>43647</v>
      </c>
      <c r="C20" s="21">
        <v>128877</v>
      </c>
      <c r="D20" s="21">
        <v>142478</v>
      </c>
      <c r="E20" s="23">
        <f t="shared" ref="E20:E27" si="5">(+C20-D20)/D20</f>
        <v>-9.5460351773607149E-2</v>
      </c>
      <c r="F20" s="21">
        <f>+C20-61988</f>
        <v>66889</v>
      </c>
      <c r="G20" s="21">
        <f>+D20-67444</f>
        <v>75034</v>
      </c>
      <c r="H20" s="23">
        <f t="shared" ref="H20:H27" si="6">(+F20-G20)/G20</f>
        <v>-0.10855079030839353</v>
      </c>
      <c r="I20" s="24">
        <f t="shared" ref="I20:I27" si="7">K20/C20</f>
        <v>54.051311172668512</v>
      </c>
      <c r="J20" s="24">
        <f t="shared" ref="J20:J27" si="8">K20/F20</f>
        <v>104.14224805274409</v>
      </c>
      <c r="K20" s="21">
        <v>6965970.8300000001</v>
      </c>
      <c r="L20" s="21">
        <v>7374850.2599999998</v>
      </c>
      <c r="M20" s="25">
        <f t="shared" ref="M20:M27" si="9">(+K20-L20)/L20</f>
        <v>-5.544240433161008E-2</v>
      </c>
      <c r="N20" s="10"/>
      <c r="R20" s="2"/>
    </row>
    <row r="21" spans="1:18" ht="15.75" x14ac:dyDescent="0.25">
      <c r="A21" s="19"/>
      <c r="B21" s="20">
        <f>DATE(2019,8,1)</f>
        <v>43678</v>
      </c>
      <c r="C21" s="21">
        <v>130133</v>
      </c>
      <c r="D21" s="21">
        <v>137794</v>
      </c>
      <c r="E21" s="23">
        <f t="shared" si="5"/>
        <v>-5.5597486102442778E-2</v>
      </c>
      <c r="F21" s="21">
        <f>+C21-62200</f>
        <v>67933</v>
      </c>
      <c r="G21" s="21">
        <f>+D21-65911</f>
        <v>71883</v>
      </c>
      <c r="H21" s="23">
        <f t="shared" si="6"/>
        <v>-5.4950405520081243E-2</v>
      </c>
      <c r="I21" s="24">
        <f t="shared" si="7"/>
        <v>53.532999700306604</v>
      </c>
      <c r="J21" s="24">
        <f t="shared" si="8"/>
        <v>102.54824385791882</v>
      </c>
      <c r="K21" s="21">
        <v>6966409.8499999996</v>
      </c>
      <c r="L21" s="21">
        <v>7098601.2599999998</v>
      </c>
      <c r="M21" s="25">
        <f t="shared" si="9"/>
        <v>-1.862217712451145E-2</v>
      </c>
      <c r="N21" s="10"/>
      <c r="R21" s="2"/>
    </row>
    <row r="22" spans="1:18" ht="15.75" x14ac:dyDescent="0.25">
      <c r="A22" s="19"/>
      <c r="B22" s="20">
        <f>DATE(2019,9,1)</f>
        <v>43709</v>
      </c>
      <c r="C22" s="21">
        <v>118251</v>
      </c>
      <c r="D22" s="21">
        <v>137262</v>
      </c>
      <c r="E22" s="23">
        <f t="shared" si="5"/>
        <v>-0.13850155177689383</v>
      </c>
      <c r="F22" s="21">
        <f>+C22-55723</f>
        <v>62528</v>
      </c>
      <c r="G22" s="21">
        <f>+D22-65092</f>
        <v>72170</v>
      </c>
      <c r="H22" s="23">
        <f t="shared" si="6"/>
        <v>-0.13360121934321739</v>
      </c>
      <c r="I22" s="24">
        <f t="shared" si="7"/>
        <v>54.246988186146417</v>
      </c>
      <c r="J22" s="24">
        <f t="shared" si="8"/>
        <v>102.59020918628454</v>
      </c>
      <c r="K22" s="21">
        <v>6414760.5999999996</v>
      </c>
      <c r="L22" s="21">
        <v>6514977.2199999997</v>
      </c>
      <c r="M22" s="25">
        <f t="shared" si="9"/>
        <v>-1.5382497377327763E-2</v>
      </c>
      <c r="N22" s="10"/>
      <c r="R22" s="2"/>
    </row>
    <row r="23" spans="1:18" ht="15.75" x14ac:dyDescent="0.25">
      <c r="A23" s="19"/>
      <c r="B23" s="20">
        <f>DATE(2019,10,1)</f>
        <v>43739</v>
      </c>
      <c r="C23" s="21">
        <v>113052</v>
      </c>
      <c r="D23" s="21">
        <v>119937</v>
      </c>
      <c r="E23" s="23">
        <f t="shared" si="5"/>
        <v>-5.7405137697291081E-2</v>
      </c>
      <c r="F23" s="21">
        <f>+C23-54189</f>
        <v>58863</v>
      </c>
      <c r="G23" s="21">
        <f>+D23-56627</f>
        <v>63310</v>
      </c>
      <c r="H23" s="23">
        <f t="shared" si="6"/>
        <v>-7.0241667982941083E-2</v>
      </c>
      <c r="I23" s="24">
        <f t="shared" si="7"/>
        <v>53.507365990871456</v>
      </c>
      <c r="J23" s="24">
        <f t="shared" si="8"/>
        <v>102.765994597625</v>
      </c>
      <c r="K23" s="21">
        <v>6049114.7400000002</v>
      </c>
      <c r="L23" s="21">
        <v>6347121.8700000001</v>
      </c>
      <c r="M23" s="25">
        <f t="shared" si="9"/>
        <v>-4.6951537421795225E-2</v>
      </c>
      <c r="N23" s="10"/>
      <c r="R23" s="2"/>
    </row>
    <row r="24" spans="1:18" ht="15.75" x14ac:dyDescent="0.25">
      <c r="A24" s="19"/>
      <c r="B24" s="20">
        <f>DATE(2019,11,1)</f>
        <v>43770</v>
      </c>
      <c r="C24" s="21">
        <v>116655</v>
      </c>
      <c r="D24" s="21">
        <v>113387</v>
      </c>
      <c r="E24" s="23">
        <f t="shared" si="5"/>
        <v>2.882164622046619E-2</v>
      </c>
      <c r="F24" s="21">
        <f>+C24-56252</f>
        <v>60403</v>
      </c>
      <c r="G24" s="21">
        <f>+D24-54700</f>
        <v>58687</v>
      </c>
      <c r="H24" s="23">
        <f t="shared" si="6"/>
        <v>2.9239865728355512E-2</v>
      </c>
      <c r="I24" s="24">
        <f t="shared" si="7"/>
        <v>54.552035232094639</v>
      </c>
      <c r="J24" s="24">
        <f t="shared" si="8"/>
        <v>105.35515901528069</v>
      </c>
      <c r="K24" s="21">
        <v>6363767.6699999999</v>
      </c>
      <c r="L24" s="21">
        <v>5777883.1900000004</v>
      </c>
      <c r="M24" s="25">
        <f t="shared" si="9"/>
        <v>0.10140123306992634</v>
      </c>
      <c r="N24" s="10"/>
      <c r="R24" s="2"/>
    </row>
    <row r="25" spans="1:18" ht="15.75" x14ac:dyDescent="0.25">
      <c r="A25" s="19"/>
      <c r="B25" s="20">
        <f>DATE(2019,12,1)</f>
        <v>43800</v>
      </c>
      <c r="C25" s="21">
        <v>115489</v>
      </c>
      <c r="D25" s="21">
        <v>130957</v>
      </c>
      <c r="E25" s="23">
        <f t="shared" si="5"/>
        <v>-0.11811510648533488</v>
      </c>
      <c r="F25" s="21">
        <f>+C25-56066</f>
        <v>59423</v>
      </c>
      <c r="G25" s="21">
        <f>+D25-63848</f>
        <v>67109</v>
      </c>
      <c r="H25" s="23">
        <f t="shared" si="6"/>
        <v>-0.11453009283404611</v>
      </c>
      <c r="I25" s="24">
        <f t="shared" si="7"/>
        <v>54.336793893790755</v>
      </c>
      <c r="J25" s="24">
        <f t="shared" si="8"/>
        <v>105.60392423808963</v>
      </c>
      <c r="K25" s="21">
        <v>6275301.9900000002</v>
      </c>
      <c r="L25" s="21">
        <v>6736075.9199999999</v>
      </c>
      <c r="M25" s="25">
        <f t="shared" si="9"/>
        <v>-6.8403909853795075E-2</v>
      </c>
      <c r="N25" s="10"/>
      <c r="R25" s="2"/>
    </row>
    <row r="26" spans="1:18" ht="15.75" x14ac:dyDescent="0.25">
      <c r="A26" s="19"/>
      <c r="B26" s="20">
        <f>DATE(2020,1,1)</f>
        <v>43831</v>
      </c>
      <c r="C26" s="21">
        <v>104167</v>
      </c>
      <c r="D26" s="21">
        <v>105704</v>
      </c>
      <c r="E26" s="23">
        <f t="shared" si="5"/>
        <v>-1.4540603950654658E-2</v>
      </c>
      <c r="F26" s="21">
        <f>+C26-50647</f>
        <v>53520</v>
      </c>
      <c r="G26" s="21">
        <f>+D26-51270</f>
        <v>54434</v>
      </c>
      <c r="H26" s="23">
        <f t="shared" si="6"/>
        <v>-1.6790976228092735E-2</v>
      </c>
      <c r="I26" s="24">
        <f t="shared" si="7"/>
        <v>54.091592346904491</v>
      </c>
      <c r="J26" s="24">
        <f t="shared" si="8"/>
        <v>105.27950112107624</v>
      </c>
      <c r="K26" s="21">
        <v>5634558.9000000004</v>
      </c>
      <c r="L26" s="21">
        <v>5202479.57</v>
      </c>
      <c r="M26" s="25">
        <f t="shared" si="9"/>
        <v>8.3052576023859334E-2</v>
      </c>
      <c r="N26" s="10"/>
      <c r="R26" s="2"/>
    </row>
    <row r="27" spans="1:18" ht="15.75" x14ac:dyDescent="0.25">
      <c r="A27" s="19"/>
      <c r="B27" s="20">
        <f>DATE(2020,2,1)</f>
        <v>43862</v>
      </c>
      <c r="C27" s="21">
        <v>123497</v>
      </c>
      <c r="D27" s="21">
        <v>119333</v>
      </c>
      <c r="E27" s="23">
        <f t="shared" si="5"/>
        <v>3.4893952217743628E-2</v>
      </c>
      <c r="F27" s="21">
        <f>+C27-60781</f>
        <v>62716</v>
      </c>
      <c r="G27" s="21">
        <f>+D27-58302</f>
        <v>61031</v>
      </c>
      <c r="H27" s="23">
        <f t="shared" si="6"/>
        <v>2.7608920057020203E-2</v>
      </c>
      <c r="I27" s="24">
        <f t="shared" si="7"/>
        <v>54.341274039045487</v>
      </c>
      <c r="J27" s="24">
        <f t="shared" si="8"/>
        <v>107.0059366030997</v>
      </c>
      <c r="K27" s="21">
        <v>6710984.3200000003</v>
      </c>
      <c r="L27" s="21">
        <v>6238077.4699999997</v>
      </c>
      <c r="M27" s="25">
        <f t="shared" si="9"/>
        <v>7.5809710968530272E-2</v>
      </c>
      <c r="N27" s="10"/>
      <c r="R27" s="2"/>
    </row>
    <row r="28" spans="1:18" ht="15.75" customHeight="1" thickBot="1" x14ac:dyDescent="0.3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Top="1" thickBot="1" x14ac:dyDescent="0.3">
      <c r="A29" s="26" t="s">
        <v>14</v>
      </c>
      <c r="B29" s="27"/>
      <c r="C29" s="28">
        <f>SUM(C20:C28)</f>
        <v>950121</v>
      </c>
      <c r="D29" s="28">
        <f>SUM(D20:D28)</f>
        <v>1006852</v>
      </c>
      <c r="E29" s="278">
        <f>(+C29-D29)/D29</f>
        <v>-5.6344924576799765E-2</v>
      </c>
      <c r="F29" s="28">
        <f>SUM(F20:F28)</f>
        <v>492275</v>
      </c>
      <c r="G29" s="28">
        <f>SUM(G20:G28)</f>
        <v>523658</v>
      </c>
      <c r="H29" s="30">
        <f>(+F29-G29)/G29</f>
        <v>-5.9930336211802361E-2</v>
      </c>
      <c r="I29" s="31">
        <f>K29/C29</f>
        <v>54.078237298196761</v>
      </c>
      <c r="J29" s="31">
        <f>K29/F29</f>
        <v>104.37432106038293</v>
      </c>
      <c r="K29" s="28">
        <f>SUM(K20:K28)</f>
        <v>51380868.900000006</v>
      </c>
      <c r="L29" s="28">
        <f>SUM(L20:L28)</f>
        <v>51290066.759999998</v>
      </c>
      <c r="M29" s="32">
        <f>(+K29-L29)/L29</f>
        <v>1.7703650187256659E-3</v>
      </c>
      <c r="N29" s="10"/>
      <c r="R29" s="2"/>
    </row>
    <row r="30" spans="1:18" ht="15.75" customHeight="1" thickTop="1" x14ac:dyDescent="0.25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 x14ac:dyDescent="0.25">
      <c r="A31" s="19" t="s">
        <v>56</v>
      </c>
      <c r="B31" s="20">
        <f>DATE(2019,7,1)</f>
        <v>43647</v>
      </c>
      <c r="C31" s="21">
        <v>66822</v>
      </c>
      <c r="D31" s="21">
        <v>72910</v>
      </c>
      <c r="E31" s="23">
        <f t="shared" ref="E31:E38" si="10">(+C31-D31)/D31</f>
        <v>-8.3500205733095592E-2</v>
      </c>
      <c r="F31" s="21">
        <f>+C31-35692</f>
        <v>31130</v>
      </c>
      <c r="G31" s="21">
        <f>+D31-39365</f>
        <v>33545</v>
      </c>
      <c r="H31" s="23">
        <f t="shared" ref="H31:H38" si="11">(+F31-G31)/G31</f>
        <v>-7.1992845431509911E-2</v>
      </c>
      <c r="I31" s="24">
        <f t="shared" ref="I31:I38" si="12">K31/C31</f>
        <v>48.793103618568736</v>
      </c>
      <c r="J31" s="24">
        <f t="shared" ref="J31:J38" si="13">K31/F31</f>
        <v>104.73667748152907</v>
      </c>
      <c r="K31" s="21">
        <v>3260452.77</v>
      </c>
      <c r="L31" s="21">
        <v>3264963.85</v>
      </c>
      <c r="M31" s="25">
        <f t="shared" ref="M31:M38" si="14">(+K31-L31)/L31</f>
        <v>-1.3816630772190859E-3</v>
      </c>
      <c r="N31" s="10"/>
      <c r="R31" s="2"/>
    </row>
    <row r="32" spans="1:18" ht="15.75" customHeight="1" x14ac:dyDescent="0.25">
      <c r="A32" s="19"/>
      <c r="B32" s="20">
        <f>DATE(2019,8,1)</f>
        <v>43678</v>
      </c>
      <c r="C32" s="21">
        <v>69025</v>
      </c>
      <c r="D32" s="21">
        <v>70574</v>
      </c>
      <c r="E32" s="23">
        <f t="shared" si="10"/>
        <v>-2.1948592966248192E-2</v>
      </c>
      <c r="F32" s="21">
        <f>+C32-37871</f>
        <v>31154</v>
      </c>
      <c r="G32" s="21">
        <f>+D32-38367</f>
        <v>32207</v>
      </c>
      <c r="H32" s="23">
        <f t="shared" si="11"/>
        <v>-3.2694755798428912E-2</v>
      </c>
      <c r="I32" s="24">
        <f t="shared" si="12"/>
        <v>46.687241434262944</v>
      </c>
      <c r="J32" s="24">
        <f t="shared" si="13"/>
        <v>103.4405482442062</v>
      </c>
      <c r="K32" s="21">
        <v>3222586.84</v>
      </c>
      <c r="L32" s="21">
        <v>3124652.26</v>
      </c>
      <c r="M32" s="25">
        <f t="shared" si="14"/>
        <v>3.1342553299034973E-2</v>
      </c>
      <c r="N32" s="10"/>
      <c r="R32" s="2"/>
    </row>
    <row r="33" spans="1:18" ht="15.75" customHeight="1" x14ac:dyDescent="0.25">
      <c r="A33" s="19"/>
      <c r="B33" s="20">
        <f>DATE(2019,9,1)</f>
        <v>43709</v>
      </c>
      <c r="C33" s="21">
        <v>65573</v>
      </c>
      <c r="D33" s="21">
        <v>68201</v>
      </c>
      <c r="E33" s="23">
        <f t="shared" si="10"/>
        <v>-3.8533159337839622E-2</v>
      </c>
      <c r="F33" s="21">
        <f>+C33-35939</f>
        <v>29634</v>
      </c>
      <c r="G33" s="21">
        <f>+D33-36459</f>
        <v>31742</v>
      </c>
      <c r="H33" s="23">
        <f t="shared" si="11"/>
        <v>-6.6410434125133894E-2</v>
      </c>
      <c r="I33" s="24">
        <f t="shared" si="12"/>
        <v>47.458679486983975</v>
      </c>
      <c r="J33" s="24">
        <f t="shared" si="13"/>
        <v>105.01477998245259</v>
      </c>
      <c r="K33" s="21">
        <v>3112007.99</v>
      </c>
      <c r="L33" s="21">
        <v>3126829.64</v>
      </c>
      <c r="M33" s="25">
        <f t="shared" si="14"/>
        <v>-4.7401527126370423E-3</v>
      </c>
      <c r="N33" s="10"/>
      <c r="R33" s="2"/>
    </row>
    <row r="34" spans="1:18" ht="15.75" customHeight="1" x14ac:dyDescent="0.25">
      <c r="A34" s="19"/>
      <c r="B34" s="20">
        <f>DATE(2019,10,1)</f>
        <v>43739</v>
      </c>
      <c r="C34" s="21">
        <v>63039</v>
      </c>
      <c r="D34" s="21">
        <v>62804</v>
      </c>
      <c r="E34" s="23">
        <f t="shared" si="10"/>
        <v>3.7417998853576206E-3</v>
      </c>
      <c r="F34" s="21">
        <f>+C34-34568</f>
        <v>28471</v>
      </c>
      <c r="G34" s="21">
        <f>+D34-33338</f>
        <v>29466</v>
      </c>
      <c r="H34" s="23">
        <f t="shared" si="11"/>
        <v>-3.3767732301635781E-2</v>
      </c>
      <c r="I34" s="24">
        <f t="shared" si="12"/>
        <v>49.582150573454527</v>
      </c>
      <c r="J34" s="24">
        <f t="shared" si="13"/>
        <v>109.78220610445716</v>
      </c>
      <c r="K34" s="21">
        <v>3125609.19</v>
      </c>
      <c r="L34" s="21">
        <v>2846929.77</v>
      </c>
      <c r="M34" s="25">
        <f t="shared" si="14"/>
        <v>9.7887704479622598E-2</v>
      </c>
      <c r="N34" s="10"/>
      <c r="R34" s="2"/>
    </row>
    <row r="35" spans="1:18" ht="15.75" customHeight="1" x14ac:dyDescent="0.25">
      <c r="A35" s="19"/>
      <c r="B35" s="20">
        <f>DATE(2019,11,1)</f>
        <v>43770</v>
      </c>
      <c r="C35" s="21">
        <v>64312</v>
      </c>
      <c r="D35" s="21">
        <v>61960</v>
      </c>
      <c r="E35" s="23">
        <f t="shared" si="10"/>
        <v>3.7959974176888317E-2</v>
      </c>
      <c r="F35" s="21">
        <f>+C35-35218</f>
        <v>29094</v>
      </c>
      <c r="G35" s="21">
        <f>+D35-34125</f>
        <v>27835</v>
      </c>
      <c r="H35" s="23">
        <f t="shared" si="11"/>
        <v>4.5230824501526858E-2</v>
      </c>
      <c r="I35" s="24">
        <f t="shared" si="12"/>
        <v>49.905382354770495</v>
      </c>
      <c r="J35" s="24">
        <f t="shared" si="13"/>
        <v>110.31535539973878</v>
      </c>
      <c r="K35" s="21">
        <v>3209514.95</v>
      </c>
      <c r="L35" s="21">
        <v>2852375.01</v>
      </c>
      <c r="M35" s="25">
        <f t="shared" si="14"/>
        <v>0.12520791927706604</v>
      </c>
      <c r="N35" s="10"/>
      <c r="R35" s="2"/>
    </row>
    <row r="36" spans="1:18" ht="15.75" customHeight="1" x14ac:dyDescent="0.25">
      <c r="A36" s="19"/>
      <c r="B36" s="20">
        <f>DATE(2019,12,1)</f>
        <v>43800</v>
      </c>
      <c r="C36" s="21">
        <v>68470</v>
      </c>
      <c r="D36" s="21">
        <v>67802</v>
      </c>
      <c r="E36" s="23">
        <f t="shared" si="10"/>
        <v>9.852216748768473E-3</v>
      </c>
      <c r="F36" s="21">
        <f>+C36-38903</f>
        <v>29567</v>
      </c>
      <c r="G36" s="21">
        <f>+D36-38252</f>
        <v>29550</v>
      </c>
      <c r="H36" s="23">
        <f t="shared" si="11"/>
        <v>5.7529610829103216E-4</v>
      </c>
      <c r="I36" s="24">
        <f t="shared" si="12"/>
        <v>49.979146925660871</v>
      </c>
      <c r="J36" s="24">
        <f t="shared" si="13"/>
        <v>115.73958095173673</v>
      </c>
      <c r="K36" s="21">
        <v>3422072.19</v>
      </c>
      <c r="L36" s="21">
        <v>3248132.45</v>
      </c>
      <c r="M36" s="25">
        <f t="shared" si="14"/>
        <v>5.3550691875265045E-2</v>
      </c>
      <c r="N36" s="10"/>
      <c r="R36" s="2"/>
    </row>
    <row r="37" spans="1:18" ht="15.75" customHeight="1" x14ac:dyDescent="0.25">
      <c r="A37" s="19"/>
      <c r="B37" s="20">
        <f>DATE(2020,1,1)</f>
        <v>43831</v>
      </c>
      <c r="C37" s="21">
        <v>64187</v>
      </c>
      <c r="D37" s="21">
        <v>58743</v>
      </c>
      <c r="E37" s="23">
        <f t="shared" si="10"/>
        <v>9.2674871899630598E-2</v>
      </c>
      <c r="F37" s="21">
        <f>+C37-35543</f>
        <v>28644</v>
      </c>
      <c r="G37" s="21">
        <f>+D37-31774</f>
        <v>26969</v>
      </c>
      <c r="H37" s="23">
        <f t="shared" si="11"/>
        <v>6.2108346620193558E-2</v>
      </c>
      <c r="I37" s="24">
        <f t="shared" si="12"/>
        <v>50.324496860735039</v>
      </c>
      <c r="J37" s="24">
        <f t="shared" si="13"/>
        <v>112.76981147884374</v>
      </c>
      <c r="K37" s="21">
        <v>3230178.48</v>
      </c>
      <c r="L37" s="21">
        <v>2770218.85</v>
      </c>
      <c r="M37" s="25">
        <f t="shared" si="14"/>
        <v>0.16603728979751903</v>
      </c>
      <c r="N37" s="10"/>
      <c r="R37" s="2"/>
    </row>
    <row r="38" spans="1:18" ht="15.75" customHeight="1" x14ac:dyDescent="0.25">
      <c r="A38" s="19"/>
      <c r="B38" s="20">
        <f>DATE(2020,2,1)</f>
        <v>43862</v>
      </c>
      <c r="C38" s="21">
        <v>69427</v>
      </c>
      <c r="D38" s="21">
        <v>62348</v>
      </c>
      <c r="E38" s="23">
        <f t="shared" si="10"/>
        <v>0.11354012959517547</v>
      </c>
      <c r="F38" s="21">
        <f>+C38-38411</f>
        <v>31016</v>
      </c>
      <c r="G38" s="21">
        <f>+D38-34888</f>
        <v>27460</v>
      </c>
      <c r="H38" s="23">
        <f t="shared" si="11"/>
        <v>0.12949745083758193</v>
      </c>
      <c r="I38" s="24">
        <f t="shared" si="12"/>
        <v>50.622267561611473</v>
      </c>
      <c r="J38" s="24">
        <f t="shared" si="13"/>
        <v>113.31416591436678</v>
      </c>
      <c r="K38" s="21">
        <v>3514552.17</v>
      </c>
      <c r="L38" s="21">
        <v>2905855.64</v>
      </c>
      <c r="M38" s="25">
        <f t="shared" si="14"/>
        <v>0.20947239140895513</v>
      </c>
      <c r="N38" s="10"/>
      <c r="R38" s="2"/>
    </row>
    <row r="39" spans="1:18" ht="15.75" customHeight="1" thickBot="1" x14ac:dyDescent="0.25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Top="1" thickBot="1" x14ac:dyDescent="0.3">
      <c r="A40" s="39" t="s">
        <v>14</v>
      </c>
      <c r="B40" s="40"/>
      <c r="C40" s="41">
        <f>SUM(C31:C39)</f>
        <v>530855</v>
      </c>
      <c r="D40" s="41">
        <f>SUM(D31:D39)</f>
        <v>525342</v>
      </c>
      <c r="E40" s="279">
        <f>(+C40-D40)/D40</f>
        <v>1.0494116213818808E-2</v>
      </c>
      <c r="F40" s="41">
        <f>SUM(F31:F39)</f>
        <v>238710</v>
      </c>
      <c r="G40" s="41">
        <f>SUM(G31:G39)</f>
        <v>238774</v>
      </c>
      <c r="H40" s="42">
        <f>(+F40-G40)/G40</f>
        <v>-2.6803588330387733E-4</v>
      </c>
      <c r="I40" s="43">
        <f>K40/C40</f>
        <v>49.160268962334342</v>
      </c>
      <c r="J40" s="43">
        <f>K40/F40</f>
        <v>109.32501604457291</v>
      </c>
      <c r="K40" s="41">
        <f>SUM(K31:K39)</f>
        <v>26096974.579999998</v>
      </c>
      <c r="L40" s="41">
        <f>SUM(L31:L39)</f>
        <v>24139957.470000003</v>
      </c>
      <c r="M40" s="44">
        <f>(+K40-L40)/L40</f>
        <v>8.1069617145435494E-2</v>
      </c>
      <c r="N40" s="10"/>
      <c r="R40" s="2"/>
    </row>
    <row r="41" spans="1:18" ht="15.75" customHeight="1" thickTop="1" x14ac:dyDescent="0.2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 x14ac:dyDescent="0.25">
      <c r="A42" s="177" t="s">
        <v>65</v>
      </c>
      <c r="B42" s="20">
        <f>DATE(2019,7,1)</f>
        <v>43647</v>
      </c>
      <c r="C42" s="21">
        <v>438217</v>
      </c>
      <c r="D42" s="21">
        <v>465892</v>
      </c>
      <c r="E42" s="23">
        <f t="shared" ref="E42:E49" si="15">(+C42-D42)/D42</f>
        <v>-5.9402179045787436E-2</v>
      </c>
      <c r="F42" s="21">
        <f>+C42-221917</f>
        <v>216300</v>
      </c>
      <c r="G42" s="21">
        <f>+D42-233751</f>
        <v>232141</v>
      </c>
      <c r="H42" s="23">
        <f t="shared" ref="H42:H49" si="16">(+F42-G42)/G42</f>
        <v>-6.8238699755751892E-2</v>
      </c>
      <c r="I42" s="24">
        <f t="shared" ref="I42:I49" si="17">K42/C42</f>
        <v>46.659625824648522</v>
      </c>
      <c r="J42" s="24">
        <f t="shared" ref="J42:J49" si="18">K42/F42</f>
        <v>94.530935043920479</v>
      </c>
      <c r="K42" s="21">
        <v>20447041.25</v>
      </c>
      <c r="L42" s="21">
        <v>20180093.420000002</v>
      </c>
      <c r="M42" s="25">
        <f t="shared" ref="M42:M49" si="19">(+K42-L42)/L42</f>
        <v>1.3228275233623681E-2</v>
      </c>
      <c r="N42" s="10"/>
      <c r="R42" s="2"/>
    </row>
    <row r="43" spans="1:18" ht="15.75" customHeight="1" x14ac:dyDescent="0.25">
      <c r="A43" s="177"/>
      <c r="B43" s="20">
        <f>DATE(2019,8,1)</f>
        <v>43678</v>
      </c>
      <c r="C43" s="21">
        <v>437029</v>
      </c>
      <c r="D43" s="21">
        <v>454572</v>
      </c>
      <c r="E43" s="23">
        <f t="shared" si="15"/>
        <v>-3.8592346206981515E-2</v>
      </c>
      <c r="F43" s="21">
        <f>+C43-215022</f>
        <v>222007</v>
      </c>
      <c r="G43" s="21">
        <f>+D43-227733</f>
        <v>226839</v>
      </c>
      <c r="H43" s="23">
        <f t="shared" si="16"/>
        <v>-2.1301451690405971E-2</v>
      </c>
      <c r="I43" s="24">
        <f t="shared" si="17"/>
        <v>48.822521114159471</v>
      </c>
      <c r="J43" s="24">
        <f t="shared" si="18"/>
        <v>96.108940618989479</v>
      </c>
      <c r="K43" s="21">
        <v>21336857.579999998</v>
      </c>
      <c r="L43" s="21">
        <v>20410400.739999998</v>
      </c>
      <c r="M43" s="25">
        <f t="shared" si="19"/>
        <v>4.5391408615723237E-2</v>
      </c>
      <c r="N43" s="10"/>
      <c r="R43" s="2"/>
    </row>
    <row r="44" spans="1:18" ht="15.75" customHeight="1" x14ac:dyDescent="0.25">
      <c r="A44" s="177"/>
      <c r="B44" s="20">
        <f>DATE(2019,9,1)</f>
        <v>43709</v>
      </c>
      <c r="C44" s="21">
        <v>403849</v>
      </c>
      <c r="D44" s="21">
        <v>400695</v>
      </c>
      <c r="E44" s="23">
        <f t="shared" si="15"/>
        <v>7.8713235752879366E-3</v>
      </c>
      <c r="F44" s="21">
        <f>+C44-198275</f>
        <v>205574</v>
      </c>
      <c r="G44" s="21">
        <f>+D44-202275</f>
        <v>198420</v>
      </c>
      <c r="H44" s="23">
        <f t="shared" si="16"/>
        <v>3.6054833182138896E-2</v>
      </c>
      <c r="I44" s="24">
        <f t="shared" si="17"/>
        <v>46.879226914019846</v>
      </c>
      <c r="J44" s="24">
        <f t="shared" si="18"/>
        <v>92.093985182951158</v>
      </c>
      <c r="K44" s="21">
        <v>18932128.91</v>
      </c>
      <c r="L44" s="21">
        <v>19424363</v>
      </c>
      <c r="M44" s="25">
        <f t="shared" si="19"/>
        <v>-2.5341067297805331E-2</v>
      </c>
      <c r="N44" s="10"/>
      <c r="R44" s="2"/>
    </row>
    <row r="45" spans="1:18" ht="15.75" customHeight="1" x14ac:dyDescent="0.25">
      <c r="A45" s="177"/>
      <c r="B45" s="20">
        <f>DATE(2019,10,1)</f>
        <v>43739</v>
      </c>
      <c r="C45" s="21">
        <v>396586</v>
      </c>
      <c r="D45" s="21">
        <v>385385</v>
      </c>
      <c r="E45" s="23">
        <f t="shared" si="15"/>
        <v>2.9064442051455038E-2</v>
      </c>
      <c r="F45" s="21">
        <f>+C45-195500</f>
        <v>201086</v>
      </c>
      <c r="G45" s="21">
        <f>+D45-195549</f>
        <v>189836</v>
      </c>
      <c r="H45" s="23">
        <f t="shared" si="16"/>
        <v>5.926167850144335E-2</v>
      </c>
      <c r="I45" s="24">
        <f t="shared" si="17"/>
        <v>47.992456995456223</v>
      </c>
      <c r="J45" s="24">
        <f t="shared" si="18"/>
        <v>94.6517238892812</v>
      </c>
      <c r="K45" s="21">
        <v>19033136.550000001</v>
      </c>
      <c r="L45" s="21">
        <v>18152971.32</v>
      </c>
      <c r="M45" s="25">
        <f t="shared" si="19"/>
        <v>4.8486014464765893E-2</v>
      </c>
      <c r="N45" s="10"/>
      <c r="R45" s="2"/>
    </row>
    <row r="46" spans="1:18" ht="15.75" customHeight="1" x14ac:dyDescent="0.25">
      <c r="A46" s="177"/>
      <c r="B46" s="20">
        <f>DATE(2019,11,1)</f>
        <v>43770</v>
      </c>
      <c r="C46" s="21">
        <v>419787</v>
      </c>
      <c r="D46" s="21">
        <v>374346</v>
      </c>
      <c r="E46" s="23">
        <f t="shared" si="15"/>
        <v>0.12138770014905996</v>
      </c>
      <c r="F46" s="21">
        <f>+C46-213343</f>
        <v>206444</v>
      </c>
      <c r="G46" s="21">
        <f>+D46-191013</f>
        <v>183333</v>
      </c>
      <c r="H46" s="23">
        <f t="shared" si="16"/>
        <v>0.12606022920041673</v>
      </c>
      <c r="I46" s="24">
        <f t="shared" si="17"/>
        <v>48.215090343436074</v>
      </c>
      <c r="J46" s="24">
        <f t="shared" si="18"/>
        <v>98.041445282982309</v>
      </c>
      <c r="K46" s="21">
        <v>20240068.129999999</v>
      </c>
      <c r="L46" s="21">
        <v>17751787.379999999</v>
      </c>
      <c r="M46" s="25">
        <f t="shared" si="19"/>
        <v>0.14017071615016155</v>
      </c>
      <c r="N46" s="10"/>
      <c r="R46" s="2"/>
    </row>
    <row r="47" spans="1:18" ht="15.75" customHeight="1" x14ac:dyDescent="0.25">
      <c r="A47" s="177"/>
      <c r="B47" s="20">
        <f>DATE(2019,12,1)</f>
        <v>43800</v>
      </c>
      <c r="C47" s="21">
        <v>398020</v>
      </c>
      <c r="D47" s="21">
        <v>412048</v>
      </c>
      <c r="E47" s="23">
        <f t="shared" si="15"/>
        <v>-3.4044577330796411E-2</v>
      </c>
      <c r="F47" s="21">
        <f>+C47-203674</f>
        <v>194346</v>
      </c>
      <c r="G47" s="21">
        <f>+D47-211961</f>
        <v>200087</v>
      </c>
      <c r="H47" s="23">
        <f t="shared" si="16"/>
        <v>-2.869251875434186E-2</v>
      </c>
      <c r="I47" s="24">
        <f t="shared" si="17"/>
        <v>49.24968504095272</v>
      </c>
      <c r="J47" s="24">
        <f t="shared" si="18"/>
        <v>100.86320088913587</v>
      </c>
      <c r="K47" s="21">
        <v>19602359.640000001</v>
      </c>
      <c r="L47" s="21">
        <v>19331083.989999998</v>
      </c>
      <c r="M47" s="25">
        <f t="shared" si="19"/>
        <v>1.4033131827492632E-2</v>
      </c>
      <c r="N47" s="10"/>
      <c r="R47" s="2"/>
    </row>
    <row r="48" spans="1:18" ht="15.75" customHeight="1" x14ac:dyDescent="0.25">
      <c r="A48" s="177"/>
      <c r="B48" s="20">
        <f>DATE(2020,1,1)</f>
        <v>43831</v>
      </c>
      <c r="C48" s="21">
        <v>392807</v>
      </c>
      <c r="D48" s="21">
        <v>344029</v>
      </c>
      <c r="E48" s="23">
        <f t="shared" si="15"/>
        <v>0.14178455885986355</v>
      </c>
      <c r="F48" s="21">
        <f>+C48-203293</f>
        <v>189514</v>
      </c>
      <c r="G48" s="21">
        <f>+D48-177399</f>
        <v>166630</v>
      </c>
      <c r="H48" s="23">
        <f t="shared" si="16"/>
        <v>0.13733421352697595</v>
      </c>
      <c r="I48" s="24">
        <f t="shared" si="17"/>
        <v>48.6937611091452</v>
      </c>
      <c r="J48" s="24">
        <f t="shared" si="18"/>
        <v>100.92790094663191</v>
      </c>
      <c r="K48" s="21">
        <v>19127250.219999999</v>
      </c>
      <c r="L48" s="21">
        <v>16412573.119999999</v>
      </c>
      <c r="M48" s="25">
        <f t="shared" si="19"/>
        <v>0.16540228519633854</v>
      </c>
      <c r="N48" s="10"/>
      <c r="R48" s="2"/>
    </row>
    <row r="49" spans="1:18" ht="15.75" customHeight="1" x14ac:dyDescent="0.25">
      <c r="A49" s="177"/>
      <c r="B49" s="20">
        <f>DATE(2020,2,1)</f>
        <v>43862</v>
      </c>
      <c r="C49" s="21">
        <v>433656</v>
      </c>
      <c r="D49" s="21">
        <v>384321</v>
      </c>
      <c r="E49" s="23">
        <f t="shared" si="15"/>
        <v>0.12836925382687908</v>
      </c>
      <c r="F49" s="21">
        <f>+C49-224157</f>
        <v>209499</v>
      </c>
      <c r="G49" s="21">
        <f>+D49-196867</f>
        <v>187454</v>
      </c>
      <c r="H49" s="23">
        <f t="shared" si="16"/>
        <v>0.11760218506940369</v>
      </c>
      <c r="I49" s="24">
        <f t="shared" si="17"/>
        <v>47.539639921965801</v>
      </c>
      <c r="J49" s="24">
        <f t="shared" si="18"/>
        <v>98.405482078673401</v>
      </c>
      <c r="K49" s="21">
        <v>20615850.09</v>
      </c>
      <c r="L49" s="21">
        <v>18593274.640000001</v>
      </c>
      <c r="M49" s="25">
        <f t="shared" si="19"/>
        <v>0.10877994808127027</v>
      </c>
      <c r="N49" s="10"/>
      <c r="R49" s="2"/>
    </row>
    <row r="50" spans="1:18" ht="15.75" thickBot="1" x14ac:dyDescent="0.25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Top="1" thickBot="1" x14ac:dyDescent="0.3">
      <c r="A51" s="39" t="s">
        <v>14</v>
      </c>
      <c r="B51" s="40"/>
      <c r="C51" s="41">
        <f>SUM(C42:C50)</f>
        <v>3319951</v>
      </c>
      <c r="D51" s="41">
        <f>SUM(D42:D50)</f>
        <v>3221288</v>
      </c>
      <c r="E51" s="279">
        <f>(+C51-D51)/D51</f>
        <v>3.0628431857070836E-2</v>
      </c>
      <c r="F51" s="41">
        <f>SUM(F42:F50)</f>
        <v>1644770</v>
      </c>
      <c r="G51" s="41">
        <f>SUM(G42:G50)</f>
        <v>1584740</v>
      </c>
      <c r="H51" s="42">
        <f>(+F51-G51)/G51</f>
        <v>3.7880030793694862E-2</v>
      </c>
      <c r="I51" s="43">
        <f>K51/C51</f>
        <v>47.993085551563858</v>
      </c>
      <c r="J51" s="43">
        <f>K51/F51</f>
        <v>96.87353999039378</v>
      </c>
      <c r="K51" s="41">
        <f>SUM(K42:K50)</f>
        <v>159334692.36999997</v>
      </c>
      <c r="L51" s="41">
        <f>SUM(L42:L50)</f>
        <v>150256547.60999998</v>
      </c>
      <c r="M51" s="44">
        <f>(+K51-L51)/L51</f>
        <v>6.0417631739835179E-2</v>
      </c>
      <c r="N51" s="10"/>
      <c r="R51" s="2"/>
    </row>
    <row r="52" spans="1:18" ht="15.75" thickTop="1" x14ac:dyDescent="0.2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 x14ac:dyDescent="0.25">
      <c r="A53" s="19" t="s">
        <v>16</v>
      </c>
      <c r="B53" s="20">
        <f>DATE(2019,7,1)</f>
        <v>43647</v>
      </c>
      <c r="C53" s="21">
        <v>288759</v>
      </c>
      <c r="D53" s="21">
        <v>289167</v>
      </c>
      <c r="E53" s="23">
        <f t="shared" ref="E53:E60" si="20">(+C53-D53)/D53</f>
        <v>-1.410949382190914E-3</v>
      </c>
      <c r="F53" s="21">
        <f>+C53-131177</f>
        <v>157582</v>
      </c>
      <c r="G53" s="21">
        <f>+D53-134357</f>
        <v>154810</v>
      </c>
      <c r="H53" s="23">
        <f t="shared" ref="H53:H60" si="21">(+F53-G53)/G53</f>
        <v>1.790582003746528E-2</v>
      </c>
      <c r="I53" s="24">
        <f t="shared" ref="I53:I60" si="22">K53/C53</f>
        <v>48.751639741098977</v>
      </c>
      <c r="J53" s="24">
        <f t="shared" ref="J53:J60" si="23">K53/F53</f>
        <v>89.334281453465493</v>
      </c>
      <c r="K53" s="21">
        <v>14077474.74</v>
      </c>
      <c r="L53" s="21">
        <v>14895059.23</v>
      </c>
      <c r="M53" s="25">
        <f t="shared" ref="M53:M60" si="24">(+K53-L53)/L53</f>
        <v>-5.4889643429769715E-2</v>
      </c>
      <c r="N53" s="10"/>
      <c r="R53" s="2"/>
    </row>
    <row r="54" spans="1:18" ht="15.75" x14ac:dyDescent="0.25">
      <c r="A54" s="19"/>
      <c r="B54" s="20">
        <f>DATE(2019,8,1)</f>
        <v>43678</v>
      </c>
      <c r="C54" s="21">
        <v>292957</v>
      </c>
      <c r="D54" s="21">
        <v>292132</v>
      </c>
      <c r="E54" s="23">
        <f t="shared" si="20"/>
        <v>2.8240658332534608E-3</v>
      </c>
      <c r="F54" s="21">
        <f>+C54-131852</f>
        <v>161105</v>
      </c>
      <c r="G54" s="21">
        <f>+D54-136807</f>
        <v>155325</v>
      </c>
      <c r="H54" s="23">
        <f t="shared" si="21"/>
        <v>3.7212296797038469E-2</v>
      </c>
      <c r="I54" s="24">
        <f t="shared" si="22"/>
        <v>53.183119911795927</v>
      </c>
      <c r="J54" s="24">
        <f t="shared" si="23"/>
        <v>96.709396108128232</v>
      </c>
      <c r="K54" s="21">
        <v>15580367.26</v>
      </c>
      <c r="L54" s="21">
        <v>14589427.75</v>
      </c>
      <c r="M54" s="25">
        <f t="shared" si="24"/>
        <v>6.7921753133874621E-2</v>
      </c>
      <c r="N54" s="10"/>
      <c r="R54" s="2"/>
    </row>
    <row r="55" spans="1:18" ht="15.75" x14ac:dyDescent="0.25">
      <c r="A55" s="19"/>
      <c r="B55" s="20">
        <f>DATE(2019,9,1)</f>
        <v>43709</v>
      </c>
      <c r="C55" s="21">
        <v>276713</v>
      </c>
      <c r="D55" s="21">
        <v>292955</v>
      </c>
      <c r="E55" s="23">
        <f t="shared" si="20"/>
        <v>-5.5441962076086773E-2</v>
      </c>
      <c r="F55" s="21">
        <f>+C55-125818</f>
        <v>150895</v>
      </c>
      <c r="G55" s="21">
        <f>+D55-135433</f>
        <v>157522</v>
      </c>
      <c r="H55" s="23">
        <f t="shared" si="21"/>
        <v>-4.2070313987887409E-2</v>
      </c>
      <c r="I55" s="24">
        <f t="shared" si="22"/>
        <v>52.918303368472031</v>
      </c>
      <c r="J55" s="24">
        <f t="shared" si="23"/>
        <v>97.042198084760926</v>
      </c>
      <c r="K55" s="21">
        <v>14643182.48</v>
      </c>
      <c r="L55" s="21">
        <v>15232551.26</v>
      </c>
      <c r="M55" s="25">
        <f t="shared" si="24"/>
        <v>-3.8691403031589029E-2</v>
      </c>
      <c r="N55" s="10"/>
      <c r="R55" s="2"/>
    </row>
    <row r="56" spans="1:18" ht="15.75" x14ac:dyDescent="0.25">
      <c r="A56" s="19"/>
      <c r="B56" s="20">
        <f>DATE(2019,10,1)</f>
        <v>43739</v>
      </c>
      <c r="C56" s="21">
        <v>265282</v>
      </c>
      <c r="D56" s="21">
        <v>283107</v>
      </c>
      <c r="E56" s="23">
        <f t="shared" si="20"/>
        <v>-6.2962060281095134E-2</v>
      </c>
      <c r="F56" s="21">
        <f>+C56-120858</f>
        <v>144424</v>
      </c>
      <c r="G56" s="21">
        <f>+D56-129714</f>
        <v>153393</v>
      </c>
      <c r="H56" s="23">
        <f t="shared" si="21"/>
        <v>-5.8470725522025126E-2</v>
      </c>
      <c r="I56" s="24">
        <f t="shared" si="22"/>
        <v>55.320004071139394</v>
      </c>
      <c r="J56" s="24">
        <f t="shared" si="23"/>
        <v>101.61331440757769</v>
      </c>
      <c r="K56" s="21">
        <v>14675401.32</v>
      </c>
      <c r="L56" s="21">
        <v>14681050.109999999</v>
      </c>
      <c r="M56" s="25">
        <f t="shared" si="24"/>
        <v>-3.8476743541331776E-4</v>
      </c>
      <c r="N56" s="10"/>
      <c r="R56" s="2"/>
    </row>
    <row r="57" spans="1:18" ht="15.75" x14ac:dyDescent="0.25">
      <c r="A57" s="19"/>
      <c r="B57" s="20">
        <f>DATE(2019,11,1)</f>
        <v>43770</v>
      </c>
      <c r="C57" s="21">
        <v>288764</v>
      </c>
      <c r="D57" s="21">
        <v>270987</v>
      </c>
      <c r="E57" s="23">
        <f t="shared" si="20"/>
        <v>6.5600932886079405E-2</v>
      </c>
      <c r="F57" s="21">
        <f>+C57-130395</f>
        <v>158369</v>
      </c>
      <c r="G57" s="21">
        <f>+D57-127087</f>
        <v>143900</v>
      </c>
      <c r="H57" s="23">
        <f t="shared" si="21"/>
        <v>0.10054899235580264</v>
      </c>
      <c r="I57" s="24">
        <f t="shared" si="22"/>
        <v>50.373510860079513</v>
      </c>
      <c r="J57" s="24">
        <f t="shared" si="23"/>
        <v>91.849140235778464</v>
      </c>
      <c r="K57" s="21">
        <v>14546056.49</v>
      </c>
      <c r="L57" s="21">
        <v>13799099.199999999</v>
      </c>
      <c r="M57" s="25">
        <f t="shared" si="24"/>
        <v>5.4130873267437707E-2</v>
      </c>
      <c r="N57" s="10"/>
      <c r="R57" s="2"/>
    </row>
    <row r="58" spans="1:18" ht="15.75" x14ac:dyDescent="0.25">
      <c r="A58" s="19"/>
      <c r="B58" s="20">
        <f>DATE(2019,12,1)</f>
        <v>43800</v>
      </c>
      <c r="C58" s="21">
        <v>302309</v>
      </c>
      <c r="D58" s="21">
        <v>307184</v>
      </c>
      <c r="E58" s="23">
        <f t="shared" si="20"/>
        <v>-1.5869967185790926E-2</v>
      </c>
      <c r="F58" s="21">
        <f>+C58-138214</f>
        <v>164095</v>
      </c>
      <c r="G58" s="21">
        <f>+D58-142869</f>
        <v>164315</v>
      </c>
      <c r="H58" s="23">
        <f t="shared" si="21"/>
        <v>-1.3388917627727231E-3</v>
      </c>
      <c r="I58" s="24">
        <f t="shared" si="22"/>
        <v>49.246940812215314</v>
      </c>
      <c r="J58" s="24">
        <f t="shared" si="23"/>
        <v>90.726673146652857</v>
      </c>
      <c r="K58" s="21">
        <v>14887793.43</v>
      </c>
      <c r="L58" s="21">
        <v>15587002.33</v>
      </c>
      <c r="M58" s="25">
        <f t="shared" si="24"/>
        <v>-4.4858458682221831E-2</v>
      </c>
      <c r="N58" s="10"/>
      <c r="R58" s="2"/>
    </row>
    <row r="59" spans="1:18" ht="15.75" x14ac:dyDescent="0.25">
      <c r="A59" s="19"/>
      <c r="B59" s="20">
        <f>DATE(2020,1,1)</f>
        <v>43831</v>
      </c>
      <c r="C59" s="21">
        <v>268298</v>
      </c>
      <c r="D59" s="21">
        <v>270469</v>
      </c>
      <c r="E59" s="23">
        <f t="shared" si="20"/>
        <v>-8.0267978955074325E-3</v>
      </c>
      <c r="F59" s="21">
        <f>+C59-120188</f>
        <v>148110</v>
      </c>
      <c r="G59" s="21">
        <f>+D59-125284</f>
        <v>145185</v>
      </c>
      <c r="H59" s="23">
        <f t="shared" si="21"/>
        <v>2.0146709370802769E-2</v>
      </c>
      <c r="I59" s="24">
        <f t="shared" si="22"/>
        <v>53.78360677306577</v>
      </c>
      <c r="J59" s="24">
        <f t="shared" si="23"/>
        <v>97.427818040645477</v>
      </c>
      <c r="K59" s="21">
        <v>14430034.130000001</v>
      </c>
      <c r="L59" s="21">
        <v>12515035.970000001</v>
      </c>
      <c r="M59" s="25">
        <f t="shared" si="24"/>
        <v>0.15301579352951714</v>
      </c>
      <c r="N59" s="10"/>
      <c r="R59" s="2"/>
    </row>
    <row r="60" spans="1:18" ht="15.75" x14ac:dyDescent="0.25">
      <c r="A60" s="19"/>
      <c r="B60" s="20">
        <f>DATE(2020,2,1)</f>
        <v>43862</v>
      </c>
      <c r="C60" s="21">
        <v>290524</v>
      </c>
      <c r="D60" s="21">
        <v>258062</v>
      </c>
      <c r="E60" s="23">
        <f t="shared" si="20"/>
        <v>0.12579147646689556</v>
      </c>
      <c r="F60" s="21">
        <f>+C60-132889</f>
        <v>157635</v>
      </c>
      <c r="G60" s="21">
        <f>+D60-117954</f>
        <v>140108</v>
      </c>
      <c r="H60" s="23">
        <f t="shared" si="21"/>
        <v>0.12509635424101406</v>
      </c>
      <c r="I60" s="24">
        <f t="shared" si="22"/>
        <v>52.81232397323457</v>
      </c>
      <c r="J60" s="24">
        <f t="shared" si="23"/>
        <v>97.334015986297459</v>
      </c>
      <c r="K60" s="21">
        <v>15343247.609999999</v>
      </c>
      <c r="L60" s="21">
        <v>12227578.699999999</v>
      </c>
      <c r="M60" s="25">
        <f t="shared" si="24"/>
        <v>0.25480669447664239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39" t="s">
        <v>14</v>
      </c>
      <c r="B62" s="40"/>
      <c r="C62" s="41">
        <f>SUM(C53:C61)</f>
        <v>2273606</v>
      </c>
      <c r="D62" s="41">
        <f>SUM(D53:D61)</f>
        <v>2264063</v>
      </c>
      <c r="E62" s="280">
        <f>(+C62-D62)/D62</f>
        <v>4.2149887171867564E-3</v>
      </c>
      <c r="F62" s="47">
        <f>SUM(F53:F61)</f>
        <v>1242215</v>
      </c>
      <c r="G62" s="48">
        <f>SUM(G53:G61)</f>
        <v>1214558</v>
      </c>
      <c r="H62" s="49">
        <f>(+F62-G62)/G62</f>
        <v>2.2771246823947478E-2</v>
      </c>
      <c r="I62" s="50">
        <f>K62/C62</f>
        <v>51.980667477126644</v>
      </c>
      <c r="J62" s="51">
        <f>K62/F62</f>
        <v>95.139373989204756</v>
      </c>
      <c r="K62" s="48">
        <f>SUM(K53:K61)</f>
        <v>118183557.45999999</v>
      </c>
      <c r="L62" s="47">
        <f>SUM(L53:L61)</f>
        <v>113526804.55</v>
      </c>
      <c r="M62" s="44">
        <f>(+K62-L62)/L62</f>
        <v>4.1018972818432919E-2</v>
      </c>
      <c r="N62" s="10"/>
      <c r="R62" s="2"/>
    </row>
    <row r="63" spans="1:18" ht="15.75" customHeight="1" thickTop="1" x14ac:dyDescent="0.25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274" t="s">
        <v>66</v>
      </c>
      <c r="B64" s="20">
        <f>DATE(2019,7,1)</f>
        <v>43647</v>
      </c>
      <c r="C64" s="21">
        <v>110928</v>
      </c>
      <c r="D64" s="21">
        <v>129160</v>
      </c>
      <c r="E64" s="23">
        <f t="shared" ref="E64:E71" si="25">(+C64-D64)/D64</f>
        <v>-0.14115825332920409</v>
      </c>
      <c r="F64" s="21">
        <f>+C64-54910</f>
        <v>56018</v>
      </c>
      <c r="G64" s="21">
        <f>+D64-62596</f>
        <v>66564</v>
      </c>
      <c r="H64" s="23">
        <f t="shared" ref="H64:H71" si="26">(+F64-G64)/G64</f>
        <v>-0.15843398834204675</v>
      </c>
      <c r="I64" s="24">
        <f t="shared" ref="I64:I71" si="27">K64/C64</f>
        <v>40.178847450598589</v>
      </c>
      <c r="J64" s="24">
        <f t="shared" ref="J64:J71" si="28">K64/F64</f>
        <v>79.562983148273773</v>
      </c>
      <c r="K64" s="21">
        <v>4456959.1900000004</v>
      </c>
      <c r="L64" s="21">
        <v>5218892.55</v>
      </c>
      <c r="M64" s="25">
        <f t="shared" ref="M64:M71" si="29">(+K64-L64)/L64</f>
        <v>-0.14599521885155489</v>
      </c>
      <c r="N64" s="10"/>
      <c r="R64" s="2"/>
    </row>
    <row r="65" spans="1:18" ht="15.75" x14ac:dyDescent="0.25">
      <c r="A65" s="274"/>
      <c r="B65" s="20">
        <f>DATE(2019,8,1)</f>
        <v>43678</v>
      </c>
      <c r="C65" s="21">
        <v>114308</v>
      </c>
      <c r="D65" s="21">
        <v>120860</v>
      </c>
      <c r="E65" s="23">
        <f t="shared" si="25"/>
        <v>-5.4211484362071821E-2</v>
      </c>
      <c r="F65" s="21">
        <f>+C65-54234</f>
        <v>60074</v>
      </c>
      <c r="G65" s="21">
        <f>+D65-58336</f>
        <v>62524</v>
      </c>
      <c r="H65" s="23">
        <f t="shared" si="26"/>
        <v>-3.918495297805643E-2</v>
      </c>
      <c r="I65" s="24">
        <f t="shared" si="27"/>
        <v>45.628914424187286</v>
      </c>
      <c r="J65" s="24">
        <f t="shared" si="28"/>
        <v>86.822085261510807</v>
      </c>
      <c r="K65" s="21">
        <v>5215749.95</v>
      </c>
      <c r="L65" s="21">
        <v>5263252.67</v>
      </c>
      <c r="M65" s="25">
        <f t="shared" si="29"/>
        <v>-9.025354277737865E-3</v>
      </c>
      <c r="N65" s="10"/>
      <c r="R65" s="2"/>
    </row>
    <row r="66" spans="1:18" ht="15.75" x14ac:dyDescent="0.25">
      <c r="A66" s="274"/>
      <c r="B66" s="20">
        <f>DATE(2019,9,1)</f>
        <v>43709</v>
      </c>
      <c r="C66" s="21">
        <v>108669</v>
      </c>
      <c r="D66" s="21">
        <v>129571</v>
      </c>
      <c r="E66" s="23">
        <f t="shared" si="25"/>
        <v>-0.16131696135709381</v>
      </c>
      <c r="F66" s="21">
        <f>+C66-53294</f>
        <v>55375</v>
      </c>
      <c r="G66" s="21">
        <f>+D66-62477</f>
        <v>67094</v>
      </c>
      <c r="H66" s="23">
        <f t="shared" si="26"/>
        <v>-0.17466539481920887</v>
      </c>
      <c r="I66" s="24">
        <f t="shared" si="27"/>
        <v>46.652023300113186</v>
      </c>
      <c r="J66" s="24">
        <f t="shared" si="28"/>
        <v>91.550857246049659</v>
      </c>
      <c r="K66" s="21">
        <v>5069628.72</v>
      </c>
      <c r="L66" s="21">
        <v>5057302.72</v>
      </c>
      <c r="M66" s="25">
        <f t="shared" si="29"/>
        <v>2.4372675875728475E-3</v>
      </c>
      <c r="N66" s="10"/>
      <c r="R66" s="2"/>
    </row>
    <row r="67" spans="1:18" ht="15.75" x14ac:dyDescent="0.25">
      <c r="A67" s="274"/>
      <c r="B67" s="20">
        <f>DATE(2019,10,1)</f>
        <v>43739</v>
      </c>
      <c r="C67" s="21">
        <v>108635</v>
      </c>
      <c r="D67" s="21">
        <v>116235</v>
      </c>
      <c r="E67" s="23">
        <f t="shared" si="25"/>
        <v>-6.5384780831935302E-2</v>
      </c>
      <c r="F67" s="21">
        <f>+C67-52866</f>
        <v>55769</v>
      </c>
      <c r="G67" s="21">
        <f>+D67-55536</f>
        <v>60699</v>
      </c>
      <c r="H67" s="23">
        <f t="shared" si="26"/>
        <v>-8.1220448442313714E-2</v>
      </c>
      <c r="I67" s="24">
        <f t="shared" si="27"/>
        <v>46.977865881161691</v>
      </c>
      <c r="J67" s="24">
        <f t="shared" si="28"/>
        <v>91.510345532464271</v>
      </c>
      <c r="K67" s="21">
        <v>5103440.46</v>
      </c>
      <c r="L67" s="21">
        <v>4939589.4400000004</v>
      </c>
      <c r="M67" s="25">
        <f t="shared" si="29"/>
        <v>3.3170979489339815E-2</v>
      </c>
      <c r="N67" s="10"/>
      <c r="R67" s="2"/>
    </row>
    <row r="68" spans="1:18" ht="15.75" x14ac:dyDescent="0.25">
      <c r="A68" s="274"/>
      <c r="B68" s="20">
        <f>DATE(2019,11,1)</f>
        <v>43770</v>
      </c>
      <c r="C68" s="21">
        <v>108978</v>
      </c>
      <c r="D68" s="21">
        <v>117294</v>
      </c>
      <c r="E68" s="23">
        <f t="shared" si="25"/>
        <v>-7.0898767200368307E-2</v>
      </c>
      <c r="F68" s="21">
        <f>+C68-53627</f>
        <v>55351</v>
      </c>
      <c r="G68" s="21">
        <f>+D68-56187</f>
        <v>61107</v>
      </c>
      <c r="H68" s="23">
        <f t="shared" si="26"/>
        <v>-9.4195427692408393E-2</v>
      </c>
      <c r="I68" s="24">
        <f t="shared" si="27"/>
        <v>46.878065572867918</v>
      </c>
      <c r="J68" s="24">
        <f t="shared" si="28"/>
        <v>92.296034940651481</v>
      </c>
      <c r="K68" s="21">
        <v>5108677.83</v>
      </c>
      <c r="L68" s="21">
        <v>4901524.07</v>
      </c>
      <c r="M68" s="25">
        <f t="shared" si="29"/>
        <v>4.2263132250618479E-2</v>
      </c>
      <c r="N68" s="10"/>
      <c r="R68" s="2"/>
    </row>
    <row r="69" spans="1:18" ht="15.75" x14ac:dyDescent="0.25">
      <c r="A69" s="274"/>
      <c r="B69" s="20">
        <f>DATE(2019,12,1)</f>
        <v>43800</v>
      </c>
      <c r="C69" s="21">
        <v>115824</v>
      </c>
      <c r="D69" s="21">
        <v>141406</v>
      </c>
      <c r="E69" s="23">
        <f t="shared" si="25"/>
        <v>-0.180911701059361</v>
      </c>
      <c r="F69" s="21">
        <f>+C69-57047</f>
        <v>58777</v>
      </c>
      <c r="G69" s="21">
        <f>+D69-68500</f>
        <v>72906</v>
      </c>
      <c r="H69" s="23">
        <f t="shared" si="26"/>
        <v>-0.19379749266178367</v>
      </c>
      <c r="I69" s="24">
        <f t="shared" si="27"/>
        <v>46.345267906478789</v>
      </c>
      <c r="J69" s="24">
        <f t="shared" si="28"/>
        <v>91.326442486006428</v>
      </c>
      <c r="K69" s="21">
        <v>5367894.3099999996</v>
      </c>
      <c r="L69" s="21">
        <v>5509337.6900000004</v>
      </c>
      <c r="M69" s="25">
        <f t="shared" si="29"/>
        <v>-2.5673390879040636E-2</v>
      </c>
      <c r="N69" s="10"/>
      <c r="R69" s="2"/>
    </row>
    <row r="70" spans="1:18" ht="15.75" x14ac:dyDescent="0.25">
      <c r="A70" s="274"/>
      <c r="B70" s="20">
        <f>DATE(2020,1,1)</f>
        <v>43831</v>
      </c>
      <c r="C70" s="21">
        <v>108065</v>
      </c>
      <c r="D70" s="21">
        <v>109334</v>
      </c>
      <c r="E70" s="23">
        <f t="shared" si="25"/>
        <v>-1.1606636544899117E-2</v>
      </c>
      <c r="F70" s="21">
        <f>+C70-54017</f>
        <v>54048</v>
      </c>
      <c r="G70" s="21">
        <f>+D70-54908</f>
        <v>54426</v>
      </c>
      <c r="H70" s="23">
        <f t="shared" si="26"/>
        <v>-6.9452100099217286E-3</v>
      </c>
      <c r="I70" s="24">
        <f t="shared" si="27"/>
        <v>46.970194882709485</v>
      </c>
      <c r="J70" s="24">
        <f t="shared" si="28"/>
        <v>93.913449341326228</v>
      </c>
      <c r="K70" s="21">
        <v>5075834.1100000003</v>
      </c>
      <c r="L70" s="21">
        <v>4773513.88</v>
      </c>
      <c r="M70" s="25">
        <f t="shared" si="29"/>
        <v>6.3332848212017859E-2</v>
      </c>
      <c r="N70" s="10"/>
      <c r="R70" s="2"/>
    </row>
    <row r="71" spans="1:18" ht="15.75" x14ac:dyDescent="0.25">
      <c r="A71" s="274"/>
      <c r="B71" s="20">
        <f>DATE(2020,2,1)</f>
        <v>43862</v>
      </c>
      <c r="C71" s="21">
        <v>122513</v>
      </c>
      <c r="D71" s="21">
        <v>121868</v>
      </c>
      <c r="E71" s="23">
        <f t="shared" si="25"/>
        <v>5.2926116782092102E-3</v>
      </c>
      <c r="F71" s="21">
        <f>+C71-61681</f>
        <v>60832</v>
      </c>
      <c r="G71" s="21">
        <f>+D71-59002</f>
        <v>62866</v>
      </c>
      <c r="H71" s="23">
        <f t="shared" si="26"/>
        <v>-3.2354531861419525E-2</v>
      </c>
      <c r="I71" s="24">
        <f t="shared" si="27"/>
        <v>48.514139723947665</v>
      </c>
      <c r="J71" s="24">
        <f t="shared" si="28"/>
        <v>97.705365597054183</v>
      </c>
      <c r="K71" s="21">
        <v>5943612.7999999998</v>
      </c>
      <c r="L71" s="21">
        <v>5088675.46</v>
      </c>
      <c r="M71" s="25">
        <f t="shared" si="29"/>
        <v>0.16800783361413263</v>
      </c>
      <c r="N71" s="10"/>
      <c r="R71" s="2"/>
    </row>
    <row r="72" spans="1:18" ht="15.75" customHeight="1" thickBot="1" x14ac:dyDescent="0.3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45" customHeight="1" thickTop="1" thickBot="1" x14ac:dyDescent="0.3">
      <c r="A73" s="39" t="s">
        <v>14</v>
      </c>
      <c r="B73" s="52"/>
      <c r="C73" s="47">
        <f>SUM(C64:C72)</f>
        <v>897920</v>
      </c>
      <c r="D73" s="48">
        <f>SUM(D64:D72)</f>
        <v>985728</v>
      </c>
      <c r="E73" s="280">
        <f>(+C73-D73)/D73</f>
        <v>-8.9079340345409694E-2</v>
      </c>
      <c r="F73" s="48">
        <f>SUM(F64:F72)</f>
        <v>456244</v>
      </c>
      <c r="G73" s="47">
        <f>SUM(G64:G72)</f>
        <v>508186</v>
      </c>
      <c r="H73" s="46">
        <f>(+F73-G73)/G73</f>
        <v>-0.10221060792701885</v>
      </c>
      <c r="I73" s="51">
        <f>K73/C73</f>
        <v>46.041737983339267</v>
      </c>
      <c r="J73" s="50">
        <f>K73/F73</f>
        <v>90.613350246797765</v>
      </c>
      <c r="K73" s="47">
        <f>SUM(K64:K72)</f>
        <v>41341797.369999997</v>
      </c>
      <c r="L73" s="48">
        <f>SUM(L64:L72)</f>
        <v>40752088.480000004</v>
      </c>
      <c r="M73" s="44">
        <f>(+K73-L73)/L73</f>
        <v>1.4470642168177611E-2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17</v>
      </c>
      <c r="B75" s="20">
        <f>DATE(2019,7,1)</f>
        <v>43647</v>
      </c>
      <c r="C75" s="21">
        <v>151411</v>
      </c>
      <c r="D75" s="21">
        <v>164240</v>
      </c>
      <c r="E75" s="23">
        <f t="shared" ref="E75:E82" si="30">(+C75-D75)/D75</f>
        <v>-7.8111300535801273E-2</v>
      </c>
      <c r="F75" s="21">
        <f>+C75-71749</f>
        <v>79662</v>
      </c>
      <c r="G75" s="21">
        <f>+D75-78084</f>
        <v>86156</v>
      </c>
      <c r="H75" s="23">
        <f t="shared" ref="H75:H82" si="31">(+F75-G75)/G75</f>
        <v>-7.5374901341752176E-2</v>
      </c>
      <c r="I75" s="24">
        <f t="shared" ref="I75:I82" si="32">K75/C75</f>
        <v>34.630094246785241</v>
      </c>
      <c r="J75" s="24">
        <f t="shared" ref="J75:J82" si="33">K75/F75</f>
        <v>65.82030579197108</v>
      </c>
      <c r="K75" s="21">
        <v>5243377.2</v>
      </c>
      <c r="L75" s="21">
        <v>5776329.8099999996</v>
      </c>
      <c r="M75" s="25">
        <f t="shared" ref="M75:M82" si="34">(+K75-L75)/L75</f>
        <v>-9.2264920378568108E-2</v>
      </c>
      <c r="N75" s="10"/>
      <c r="R75" s="2"/>
    </row>
    <row r="76" spans="1:18" ht="15.75" x14ac:dyDescent="0.25">
      <c r="A76" s="19"/>
      <c r="B76" s="20">
        <f>DATE(2019,8,1)</f>
        <v>43678</v>
      </c>
      <c r="C76" s="21">
        <v>153444</v>
      </c>
      <c r="D76" s="21">
        <v>161125</v>
      </c>
      <c r="E76" s="23">
        <f t="shared" si="30"/>
        <v>-4.7671062839410396E-2</v>
      </c>
      <c r="F76" s="21">
        <f>+C76-72860</f>
        <v>80584</v>
      </c>
      <c r="G76" s="21">
        <f>+D76-76425</f>
        <v>84700</v>
      </c>
      <c r="H76" s="23">
        <f t="shared" si="31"/>
        <v>-4.8595041322314049E-2</v>
      </c>
      <c r="I76" s="24">
        <f t="shared" si="32"/>
        <v>36.91110437684106</v>
      </c>
      <c r="J76" s="24">
        <f t="shared" si="33"/>
        <v>70.284268589298122</v>
      </c>
      <c r="K76" s="21">
        <v>5663787.5</v>
      </c>
      <c r="L76" s="21">
        <v>5562742.8200000003</v>
      </c>
      <c r="M76" s="25">
        <f t="shared" si="34"/>
        <v>1.8164542792938197E-2</v>
      </c>
      <c r="N76" s="10"/>
      <c r="R76" s="2"/>
    </row>
    <row r="77" spans="1:18" ht="15.75" x14ac:dyDescent="0.25">
      <c r="A77" s="19"/>
      <c r="B77" s="20">
        <f>DATE(2019,9,1)</f>
        <v>43709</v>
      </c>
      <c r="C77" s="21">
        <v>143049</v>
      </c>
      <c r="D77" s="21">
        <v>154193</v>
      </c>
      <c r="E77" s="23">
        <f t="shared" si="30"/>
        <v>-7.2273060385361201E-2</v>
      </c>
      <c r="F77" s="21">
        <f>+C77-67371</f>
        <v>75678</v>
      </c>
      <c r="G77" s="21">
        <f>+D77-72768</f>
        <v>81425</v>
      </c>
      <c r="H77" s="23">
        <f t="shared" si="31"/>
        <v>-7.0580288609149527E-2</v>
      </c>
      <c r="I77" s="24">
        <f t="shared" si="32"/>
        <v>35.52142797223329</v>
      </c>
      <c r="J77" s="24">
        <f t="shared" si="33"/>
        <v>67.143750495520493</v>
      </c>
      <c r="K77" s="21">
        <v>5081304.75</v>
      </c>
      <c r="L77" s="21">
        <v>5375376.2999999998</v>
      </c>
      <c r="M77" s="25">
        <f t="shared" si="34"/>
        <v>-5.4707156036685252E-2</v>
      </c>
      <c r="N77" s="10"/>
      <c r="R77" s="2"/>
    </row>
    <row r="78" spans="1:18" ht="15.75" x14ac:dyDescent="0.25">
      <c r="A78" s="19"/>
      <c r="B78" s="20">
        <f>DATE(2019,10,1)</f>
        <v>43739</v>
      </c>
      <c r="C78" s="21">
        <v>147133</v>
      </c>
      <c r="D78" s="21">
        <v>153175</v>
      </c>
      <c r="E78" s="23">
        <f t="shared" si="30"/>
        <v>-3.9445079157826017E-2</v>
      </c>
      <c r="F78" s="21">
        <f>+C78-70441</f>
        <v>76692</v>
      </c>
      <c r="G78" s="21">
        <f>+D78-73639</f>
        <v>79536</v>
      </c>
      <c r="H78" s="23">
        <f t="shared" si="31"/>
        <v>-3.5757392878696441E-2</v>
      </c>
      <c r="I78" s="24">
        <f t="shared" si="32"/>
        <v>36.719846737305701</v>
      </c>
      <c r="J78" s="24">
        <f t="shared" si="33"/>
        <v>70.446737730141351</v>
      </c>
      <c r="K78" s="21">
        <v>5402701.21</v>
      </c>
      <c r="L78" s="21">
        <v>5256338.8</v>
      </c>
      <c r="M78" s="25">
        <f t="shared" si="34"/>
        <v>2.7844934576896022E-2</v>
      </c>
      <c r="N78" s="10"/>
      <c r="R78" s="2"/>
    </row>
    <row r="79" spans="1:18" ht="15.75" x14ac:dyDescent="0.25">
      <c r="A79" s="19"/>
      <c r="B79" s="20">
        <f>DATE(2019,11,1)</f>
        <v>43770</v>
      </c>
      <c r="C79" s="21">
        <v>147609</v>
      </c>
      <c r="D79" s="21">
        <v>139109</v>
      </c>
      <c r="E79" s="23">
        <f t="shared" si="30"/>
        <v>6.1103163706158481E-2</v>
      </c>
      <c r="F79" s="21">
        <f>+C79-72727</f>
        <v>74882</v>
      </c>
      <c r="G79" s="21">
        <f>+D79-66707</f>
        <v>72402</v>
      </c>
      <c r="H79" s="23">
        <f t="shared" si="31"/>
        <v>3.4253197425485486E-2</v>
      </c>
      <c r="I79" s="24">
        <f t="shared" si="32"/>
        <v>36.772296133704586</v>
      </c>
      <c r="J79" s="24">
        <f t="shared" si="33"/>
        <v>72.486336636307797</v>
      </c>
      <c r="K79" s="21">
        <v>5427921.8600000003</v>
      </c>
      <c r="L79" s="21">
        <v>5071701.4800000004</v>
      </c>
      <c r="M79" s="25">
        <f t="shared" si="34"/>
        <v>7.0236858656751985E-2</v>
      </c>
      <c r="N79" s="10"/>
      <c r="R79" s="2"/>
    </row>
    <row r="80" spans="1:18" ht="15.75" x14ac:dyDescent="0.25">
      <c r="A80" s="19"/>
      <c r="B80" s="20">
        <f>DATE(2019,12,1)</f>
        <v>43800</v>
      </c>
      <c r="C80" s="21">
        <v>146815</v>
      </c>
      <c r="D80" s="21">
        <v>159746</v>
      </c>
      <c r="E80" s="23">
        <f t="shared" si="30"/>
        <v>-8.09472537653525E-2</v>
      </c>
      <c r="F80" s="21">
        <f>+C80-72079</f>
        <v>74736</v>
      </c>
      <c r="G80" s="21">
        <f>+D80-79467</f>
        <v>80279</v>
      </c>
      <c r="H80" s="23">
        <f t="shared" si="31"/>
        <v>-6.9046699635022857E-2</v>
      </c>
      <c r="I80" s="24">
        <f t="shared" si="32"/>
        <v>36.822510165854986</v>
      </c>
      <c r="J80" s="24">
        <f t="shared" si="33"/>
        <v>72.335913482123743</v>
      </c>
      <c r="K80" s="21">
        <v>5406096.8300000001</v>
      </c>
      <c r="L80" s="21">
        <v>5582453.1200000001</v>
      </c>
      <c r="M80" s="25">
        <f t="shared" si="34"/>
        <v>-3.1591181548516083E-2</v>
      </c>
      <c r="N80" s="10"/>
      <c r="R80" s="2"/>
    </row>
    <row r="81" spans="1:18" ht="15.75" x14ac:dyDescent="0.25">
      <c r="A81" s="19"/>
      <c r="B81" s="20">
        <f>DATE(2020,1,1)</f>
        <v>43831</v>
      </c>
      <c r="C81" s="21">
        <v>138036</v>
      </c>
      <c r="D81" s="21">
        <v>139301</v>
      </c>
      <c r="E81" s="23">
        <f t="shared" si="30"/>
        <v>-9.081054694510449E-3</v>
      </c>
      <c r="F81" s="21">
        <f>+C81-67428</f>
        <v>70608</v>
      </c>
      <c r="G81" s="21">
        <f>+D81-68038</f>
        <v>71263</v>
      </c>
      <c r="H81" s="23">
        <f t="shared" si="31"/>
        <v>-9.1913054460238831E-3</v>
      </c>
      <c r="I81" s="24">
        <f t="shared" si="32"/>
        <v>37.599209843808865</v>
      </c>
      <c r="J81" s="24">
        <f t="shared" si="33"/>
        <v>73.505049427826876</v>
      </c>
      <c r="K81" s="21">
        <v>5190044.53</v>
      </c>
      <c r="L81" s="21">
        <v>4785445.8099999996</v>
      </c>
      <c r="M81" s="25">
        <f t="shared" si="34"/>
        <v>8.4547759198217873E-2</v>
      </c>
      <c r="N81" s="10"/>
      <c r="R81" s="2"/>
    </row>
    <row r="82" spans="1:18" ht="15.75" x14ac:dyDescent="0.25">
      <c r="A82" s="19"/>
      <c r="B82" s="20">
        <f>DATE(2020,2,1)</f>
        <v>43862</v>
      </c>
      <c r="C82" s="21">
        <v>152132</v>
      </c>
      <c r="D82" s="21">
        <v>141977</v>
      </c>
      <c r="E82" s="23">
        <f t="shared" si="30"/>
        <v>7.1525669650718077E-2</v>
      </c>
      <c r="F82" s="21">
        <f>+C82-75603</f>
        <v>76529</v>
      </c>
      <c r="G82" s="21">
        <f>+D82-71543</f>
        <v>70434</v>
      </c>
      <c r="H82" s="23">
        <f t="shared" si="31"/>
        <v>8.6534912116307469E-2</v>
      </c>
      <c r="I82" s="24">
        <f t="shared" si="32"/>
        <v>38.195924263139901</v>
      </c>
      <c r="J82" s="24">
        <f t="shared" si="33"/>
        <v>75.929678291889346</v>
      </c>
      <c r="K82" s="21">
        <v>5810822.3499999996</v>
      </c>
      <c r="L82" s="21">
        <v>5198998.7699999996</v>
      </c>
      <c r="M82" s="25">
        <f t="shared" si="34"/>
        <v>0.11768103957447178</v>
      </c>
      <c r="N82" s="10"/>
      <c r="R82" s="2"/>
    </row>
    <row r="83" spans="1:18" ht="15.75" customHeight="1" thickBot="1" x14ac:dyDescent="0.3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45" customHeight="1" thickTop="1" thickBot="1" x14ac:dyDescent="0.3">
      <c r="A84" s="39" t="s">
        <v>14</v>
      </c>
      <c r="B84" s="52"/>
      <c r="C84" s="47">
        <f>SUM(C75:C83)</f>
        <v>1179629</v>
      </c>
      <c r="D84" s="48">
        <f>SUM(D75:D83)</f>
        <v>1212866</v>
      </c>
      <c r="E84" s="280">
        <f>(+C84-D84)/D84</f>
        <v>-2.7403686804642887E-2</v>
      </c>
      <c r="F84" s="48">
        <f>SUM(F75:F83)</f>
        <v>609371</v>
      </c>
      <c r="G84" s="47">
        <f>SUM(G75:G83)</f>
        <v>626195</v>
      </c>
      <c r="H84" s="53">
        <f>(+F84-G84)/G84</f>
        <v>-2.686703023818459E-2</v>
      </c>
      <c r="I84" s="51">
        <f>K84/C84</f>
        <v>36.643772092751199</v>
      </c>
      <c r="J84" s="50">
        <f>K84/F84</f>
        <v>70.935532261955373</v>
      </c>
      <c r="K84" s="47">
        <f>SUM(K75:K83)</f>
        <v>43226056.230000004</v>
      </c>
      <c r="L84" s="48">
        <f>SUM(L75:L83)</f>
        <v>42609386.909999996</v>
      </c>
      <c r="M84" s="44">
        <f>(+K84-L84)/L84</f>
        <v>1.4472616592736791E-2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 x14ac:dyDescent="0.25">
      <c r="A86" s="19" t="s">
        <v>67</v>
      </c>
      <c r="B86" s="20">
        <f>DATE(2019,7,1)</f>
        <v>43647</v>
      </c>
      <c r="C86" s="21">
        <v>323721</v>
      </c>
      <c r="D86" s="21">
        <v>388346</v>
      </c>
      <c r="E86" s="23">
        <f t="shared" ref="E86:E93" si="35">(+C86-D86)/D86</f>
        <v>-0.16641088101847321</v>
      </c>
      <c r="F86" s="21">
        <f>+C86-139052</f>
        <v>184669</v>
      </c>
      <c r="G86" s="21">
        <f>+D86-165497</f>
        <v>222849</v>
      </c>
      <c r="H86" s="23">
        <f t="shared" ref="H86:H93" si="36">(+F86-G86)/G86</f>
        <v>-0.17132677283721265</v>
      </c>
      <c r="I86" s="24">
        <f t="shared" ref="I86:I93" si="37">K86/C86</f>
        <v>38.806533280201158</v>
      </c>
      <c r="J86" s="24">
        <f t="shared" ref="J86:J93" si="38">K86/F86</f>
        <v>68.0270633403549</v>
      </c>
      <c r="K86" s="21">
        <v>12562489.76</v>
      </c>
      <c r="L86" s="21">
        <v>13426296.74</v>
      </c>
      <c r="M86" s="25">
        <f t="shared" ref="M86:M93" si="39">(+K86-L86)/L86</f>
        <v>-6.4336949847572072E-2</v>
      </c>
      <c r="N86" s="10"/>
      <c r="R86" s="2"/>
    </row>
    <row r="87" spans="1:18" ht="15.75" customHeight="1" x14ac:dyDescent="0.25">
      <c r="A87" s="19"/>
      <c r="B87" s="20">
        <f>DATE(2019,8,1)</f>
        <v>43678</v>
      </c>
      <c r="C87" s="21">
        <v>324702</v>
      </c>
      <c r="D87" s="21">
        <v>374981</v>
      </c>
      <c r="E87" s="23">
        <f t="shared" si="35"/>
        <v>-0.13408412692909774</v>
      </c>
      <c r="F87" s="21">
        <f>+C87-140464</f>
        <v>184238</v>
      </c>
      <c r="G87" s="21">
        <f>+D87-161656</f>
        <v>213325</v>
      </c>
      <c r="H87" s="23">
        <f t="shared" si="36"/>
        <v>-0.13635063869682409</v>
      </c>
      <c r="I87" s="24">
        <f t="shared" si="37"/>
        <v>39.773520366366697</v>
      </c>
      <c r="J87" s="24">
        <f t="shared" si="38"/>
        <v>70.097057121766412</v>
      </c>
      <c r="K87" s="21">
        <v>12914541.609999999</v>
      </c>
      <c r="L87" s="21">
        <v>14006614.060000001</v>
      </c>
      <c r="M87" s="25">
        <f t="shared" si="39"/>
        <v>-7.7968340194275412E-2</v>
      </c>
      <c r="N87" s="10"/>
      <c r="R87" s="2"/>
    </row>
    <row r="88" spans="1:18" ht="15.75" customHeight="1" x14ac:dyDescent="0.25">
      <c r="A88" s="19"/>
      <c r="B88" s="20">
        <f>DATE(2019,9,1)</f>
        <v>43709</v>
      </c>
      <c r="C88" s="21">
        <v>300781</v>
      </c>
      <c r="D88" s="21">
        <v>360336</v>
      </c>
      <c r="E88" s="23">
        <f t="shared" si="35"/>
        <v>-0.16527629767772301</v>
      </c>
      <c r="F88" s="21">
        <f>+C88-129541</f>
        <v>171240</v>
      </c>
      <c r="G88" s="21">
        <f>+D88-155587</f>
        <v>204749</v>
      </c>
      <c r="H88" s="23">
        <f t="shared" si="36"/>
        <v>-0.16365891896907922</v>
      </c>
      <c r="I88" s="24">
        <f t="shared" si="37"/>
        <v>40.861201671648139</v>
      </c>
      <c r="J88" s="24">
        <f t="shared" si="38"/>
        <v>71.772209180098102</v>
      </c>
      <c r="K88" s="21">
        <v>12290273.1</v>
      </c>
      <c r="L88" s="21">
        <v>13292569.289999999</v>
      </c>
      <c r="M88" s="25">
        <f t="shared" si="39"/>
        <v>-7.5402743302156572E-2</v>
      </c>
      <c r="N88" s="10"/>
      <c r="R88" s="2"/>
    </row>
    <row r="89" spans="1:18" ht="15.75" customHeight="1" x14ac:dyDescent="0.25">
      <c r="A89" s="19"/>
      <c r="B89" s="20">
        <f>DATE(2019,10,1)</f>
        <v>43739</v>
      </c>
      <c r="C89" s="21">
        <v>283539</v>
      </c>
      <c r="D89" s="21">
        <v>333769</v>
      </c>
      <c r="E89" s="23">
        <f t="shared" si="35"/>
        <v>-0.15049330525003821</v>
      </c>
      <c r="F89" s="21">
        <f>+C89-124663</f>
        <v>158876</v>
      </c>
      <c r="G89" s="21">
        <f>+D89-146853</f>
        <v>186916</v>
      </c>
      <c r="H89" s="23">
        <f t="shared" si="36"/>
        <v>-0.15001390999165401</v>
      </c>
      <c r="I89" s="24">
        <f t="shared" si="37"/>
        <v>41.993958714674172</v>
      </c>
      <c r="J89" s="24">
        <f t="shared" si="38"/>
        <v>74.944768624587738</v>
      </c>
      <c r="K89" s="21">
        <v>11906925.060000001</v>
      </c>
      <c r="L89" s="21">
        <v>13297492.66</v>
      </c>
      <c r="M89" s="25">
        <f t="shared" si="39"/>
        <v>-0.10457366930405958</v>
      </c>
      <c r="N89" s="10"/>
      <c r="R89" s="2"/>
    </row>
    <row r="90" spans="1:18" ht="15.75" customHeight="1" x14ac:dyDescent="0.25">
      <c r="A90" s="19"/>
      <c r="B90" s="20">
        <f>DATE(2019,11,1)</f>
        <v>43770</v>
      </c>
      <c r="C90" s="21">
        <v>291021</v>
      </c>
      <c r="D90" s="21">
        <v>328789</v>
      </c>
      <c r="E90" s="23">
        <f t="shared" si="35"/>
        <v>-0.11487002302388462</v>
      </c>
      <c r="F90" s="21">
        <f>+C90-133617</f>
        <v>157404</v>
      </c>
      <c r="G90" s="21">
        <f>+D90-148027</f>
        <v>180762</v>
      </c>
      <c r="H90" s="23">
        <f t="shared" si="36"/>
        <v>-0.12921963687058122</v>
      </c>
      <c r="I90" s="24">
        <f t="shared" si="37"/>
        <v>41.607863178258611</v>
      </c>
      <c r="J90" s="24">
        <f t="shared" si="38"/>
        <v>76.927917651393855</v>
      </c>
      <c r="K90" s="21">
        <v>12108761.949999999</v>
      </c>
      <c r="L90" s="21">
        <v>12818002.74</v>
      </c>
      <c r="M90" s="25">
        <f t="shared" si="39"/>
        <v>-5.5331614791026405E-2</v>
      </c>
      <c r="N90" s="10"/>
      <c r="R90" s="2"/>
    </row>
    <row r="91" spans="1:18" ht="15.75" customHeight="1" x14ac:dyDescent="0.25">
      <c r="A91" s="19"/>
      <c r="B91" s="20">
        <f>DATE(2019,12,1)</f>
        <v>43800</v>
      </c>
      <c r="C91" s="21">
        <v>314814</v>
      </c>
      <c r="D91" s="21">
        <v>359368</v>
      </c>
      <c r="E91" s="23">
        <f t="shared" si="35"/>
        <v>-0.12397876271676944</v>
      </c>
      <c r="F91" s="21">
        <f>+C91-147218</f>
        <v>167596</v>
      </c>
      <c r="G91" s="21">
        <f>+D91-161628</f>
        <v>197740</v>
      </c>
      <c r="H91" s="23">
        <f t="shared" si="36"/>
        <v>-0.15244260139577223</v>
      </c>
      <c r="I91" s="24">
        <f t="shared" si="37"/>
        <v>40.43947861276817</v>
      </c>
      <c r="J91" s="24">
        <f t="shared" si="38"/>
        <v>75.961920451562094</v>
      </c>
      <c r="K91" s="21">
        <v>12730914.02</v>
      </c>
      <c r="L91" s="21">
        <v>13957615.710000001</v>
      </c>
      <c r="M91" s="25">
        <f t="shared" si="39"/>
        <v>-8.7887624612069309E-2</v>
      </c>
      <c r="N91" s="10"/>
      <c r="R91" s="2"/>
    </row>
    <row r="92" spans="1:18" ht="15.75" customHeight="1" x14ac:dyDescent="0.25">
      <c r="A92" s="19"/>
      <c r="B92" s="20">
        <f>DATE(2020,1,1)</f>
        <v>43831</v>
      </c>
      <c r="C92" s="21">
        <v>285267</v>
      </c>
      <c r="D92" s="21">
        <v>297438</v>
      </c>
      <c r="E92" s="23">
        <f t="shared" si="35"/>
        <v>-4.0919452121114315E-2</v>
      </c>
      <c r="F92" s="21">
        <f>+C92-129272</f>
        <v>155995</v>
      </c>
      <c r="G92" s="21">
        <f>+D92-131100</f>
        <v>166338</v>
      </c>
      <c r="H92" s="23">
        <f t="shared" si="36"/>
        <v>-6.2180620183000877E-2</v>
      </c>
      <c r="I92" s="24">
        <f t="shared" si="37"/>
        <v>43.931008143248256</v>
      </c>
      <c r="J92" s="24">
        <f t="shared" si="38"/>
        <v>80.33633706208532</v>
      </c>
      <c r="K92" s="21">
        <v>12532066.9</v>
      </c>
      <c r="L92" s="21">
        <v>12493875.960000001</v>
      </c>
      <c r="M92" s="25">
        <f t="shared" si="39"/>
        <v>3.0567727839039211E-3</v>
      </c>
      <c r="N92" s="10"/>
      <c r="R92" s="2"/>
    </row>
    <row r="93" spans="1:18" ht="15.75" customHeight="1" x14ac:dyDescent="0.25">
      <c r="A93" s="19"/>
      <c r="B93" s="20">
        <f>DATE(2020,2,1)</f>
        <v>43862</v>
      </c>
      <c r="C93" s="21">
        <v>302333</v>
      </c>
      <c r="D93" s="21">
        <v>298566</v>
      </c>
      <c r="E93" s="23">
        <f t="shared" si="35"/>
        <v>1.2616975811043454E-2</v>
      </c>
      <c r="F93" s="21">
        <f>+C93-135720</f>
        <v>166613</v>
      </c>
      <c r="G93" s="21">
        <f>+D93-133131</f>
        <v>165435</v>
      </c>
      <c r="H93" s="23">
        <f t="shared" si="36"/>
        <v>7.1206213920875271E-3</v>
      </c>
      <c r="I93" s="24">
        <f t="shared" si="37"/>
        <v>46.71543992882021</v>
      </c>
      <c r="J93" s="24">
        <f t="shared" si="38"/>
        <v>84.769010221291254</v>
      </c>
      <c r="K93" s="21">
        <v>14123619.1</v>
      </c>
      <c r="L93" s="21">
        <v>12250357.039999999</v>
      </c>
      <c r="M93" s="25">
        <f t="shared" si="39"/>
        <v>0.15291489496048197</v>
      </c>
      <c r="N93" s="10"/>
      <c r="R93" s="2"/>
    </row>
    <row r="94" spans="1:18" ht="15.75" customHeight="1" thickBot="1" x14ac:dyDescent="0.3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39" t="s">
        <v>14</v>
      </c>
      <c r="B95" s="40"/>
      <c r="C95" s="41">
        <f>SUM(C86:C94)</f>
        <v>2426178</v>
      </c>
      <c r="D95" s="41">
        <f>SUM(D86:D94)</f>
        <v>2741593</v>
      </c>
      <c r="E95" s="279">
        <f>(+C95-D95)/D95</f>
        <v>-0.1150480760638067</v>
      </c>
      <c r="F95" s="41">
        <f>SUM(F86:F94)</f>
        <v>1346631</v>
      </c>
      <c r="G95" s="41">
        <f>SUM(G86:G94)</f>
        <v>1538114</v>
      </c>
      <c r="H95" s="42">
        <f>(+F95-G95)/G95</f>
        <v>-0.12449207275923631</v>
      </c>
      <c r="I95" s="43">
        <f>K95/C95</f>
        <v>41.699162839659742</v>
      </c>
      <c r="J95" s="43">
        <f>K95/F95</f>
        <v>75.127924056404467</v>
      </c>
      <c r="K95" s="41">
        <f>SUM(K86:K94)</f>
        <v>101169591.5</v>
      </c>
      <c r="L95" s="41">
        <f>SUM(L86:L94)</f>
        <v>105542824.19999999</v>
      </c>
      <c r="M95" s="44">
        <f>(+K95-L95)/L95</f>
        <v>-4.1435623247231511E-2</v>
      </c>
      <c r="N95" s="10"/>
      <c r="R95" s="2"/>
    </row>
    <row r="96" spans="1:18" ht="15.75" customHeight="1" thickTop="1" x14ac:dyDescent="0.2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 x14ac:dyDescent="0.25">
      <c r="A97" s="19" t="s">
        <v>18</v>
      </c>
      <c r="B97" s="20">
        <f>DATE(2019,7,1)</f>
        <v>43647</v>
      </c>
      <c r="C97" s="21">
        <v>366609</v>
      </c>
      <c r="D97" s="21">
        <v>413730</v>
      </c>
      <c r="E97" s="23">
        <f t="shared" ref="E97:E104" si="40">(+C97-D97)/D97</f>
        <v>-0.11389311870060184</v>
      </c>
      <c r="F97" s="21">
        <f>+C97-178251</f>
        <v>188358</v>
      </c>
      <c r="G97" s="21">
        <f>+D97-202461</f>
        <v>211269</v>
      </c>
      <c r="H97" s="23">
        <f t="shared" ref="H97:H104" si="41">(+F97-G97)/G97</f>
        <v>-0.10844468426508386</v>
      </c>
      <c r="I97" s="24">
        <f t="shared" ref="I97:I104" si="42">K97/C97</f>
        <v>42.795938015706106</v>
      </c>
      <c r="J97" s="24">
        <f t="shared" ref="J97:J104" si="43">K97/F97</f>
        <v>83.295511950647168</v>
      </c>
      <c r="K97" s="21">
        <v>15689376.039999999</v>
      </c>
      <c r="L97" s="21">
        <v>17628524.710000001</v>
      </c>
      <c r="M97" s="25">
        <f t="shared" ref="M97:M104" si="44">(+K97-L97)/L97</f>
        <v>-0.11000062126015545</v>
      </c>
      <c r="N97" s="10"/>
      <c r="R97" s="2"/>
    </row>
    <row r="98" spans="1:18" ht="15.75" customHeight="1" x14ac:dyDescent="0.25">
      <c r="A98" s="19"/>
      <c r="B98" s="20">
        <f>DATE(2019,8,1)</f>
        <v>43678</v>
      </c>
      <c r="C98" s="21">
        <v>384874</v>
      </c>
      <c r="D98" s="21">
        <v>405657</v>
      </c>
      <c r="E98" s="23">
        <f t="shared" si="40"/>
        <v>-5.1232938171903851E-2</v>
      </c>
      <c r="F98" s="21">
        <f>+C98-186167</f>
        <v>198707</v>
      </c>
      <c r="G98" s="21">
        <f>+D98-195459</f>
        <v>210198</v>
      </c>
      <c r="H98" s="23">
        <f t="shared" si="41"/>
        <v>-5.4667503972445027E-2</v>
      </c>
      <c r="I98" s="24">
        <f t="shared" si="42"/>
        <v>43.124586955730962</v>
      </c>
      <c r="J98" s="24">
        <f t="shared" si="43"/>
        <v>83.527667772146927</v>
      </c>
      <c r="K98" s="21">
        <v>16597532.279999999</v>
      </c>
      <c r="L98" s="21">
        <v>17799458.530000001</v>
      </c>
      <c r="M98" s="25">
        <f t="shared" si="44"/>
        <v>-6.7526000747394746E-2</v>
      </c>
      <c r="N98" s="10"/>
      <c r="R98" s="2"/>
    </row>
    <row r="99" spans="1:18" ht="15.75" customHeight="1" x14ac:dyDescent="0.25">
      <c r="A99" s="19"/>
      <c r="B99" s="20">
        <f>DATE(2019,9,1)</f>
        <v>43709</v>
      </c>
      <c r="C99" s="21">
        <v>348168</v>
      </c>
      <c r="D99" s="21">
        <v>386512</v>
      </c>
      <c r="E99" s="23">
        <f t="shared" si="40"/>
        <v>-9.9205199321107759E-2</v>
      </c>
      <c r="F99" s="21">
        <f>+C99-163347</f>
        <v>184821</v>
      </c>
      <c r="G99" s="21">
        <f>+D99-188889</f>
        <v>197623</v>
      </c>
      <c r="H99" s="23">
        <f t="shared" si="41"/>
        <v>-6.4779909221092682E-2</v>
      </c>
      <c r="I99" s="24">
        <f t="shared" si="42"/>
        <v>44.421932601502725</v>
      </c>
      <c r="J99" s="24">
        <f t="shared" si="43"/>
        <v>83.682565455224236</v>
      </c>
      <c r="K99" s="21">
        <v>15466295.43</v>
      </c>
      <c r="L99" s="21">
        <v>16599689.699999999</v>
      </c>
      <c r="M99" s="25">
        <f t="shared" si="44"/>
        <v>-6.827803955877558E-2</v>
      </c>
      <c r="N99" s="10"/>
      <c r="R99" s="2"/>
    </row>
    <row r="100" spans="1:18" ht="15.75" customHeight="1" x14ac:dyDescent="0.25">
      <c r="A100" s="19"/>
      <c r="B100" s="20">
        <f>DATE(2019,10,1)</f>
        <v>43739</v>
      </c>
      <c r="C100" s="21">
        <v>347400</v>
      </c>
      <c r="D100" s="21">
        <v>353857</v>
      </c>
      <c r="E100" s="23">
        <f t="shared" si="40"/>
        <v>-1.8247484153203129E-2</v>
      </c>
      <c r="F100" s="21">
        <f>+C100-164019</f>
        <v>183381</v>
      </c>
      <c r="G100" s="21">
        <f>+D100-169336</f>
        <v>184521</v>
      </c>
      <c r="H100" s="23">
        <f t="shared" si="41"/>
        <v>-6.178158583575853E-3</v>
      </c>
      <c r="I100" s="24">
        <f t="shared" si="42"/>
        <v>47.03465071963155</v>
      </c>
      <c r="J100" s="24">
        <f t="shared" si="43"/>
        <v>89.103220399059879</v>
      </c>
      <c r="K100" s="21">
        <v>16339837.66</v>
      </c>
      <c r="L100" s="21">
        <v>15074320.550000001</v>
      </c>
      <c r="M100" s="25">
        <f t="shared" si="44"/>
        <v>8.3951850818244633E-2</v>
      </c>
      <c r="N100" s="10"/>
      <c r="R100" s="2"/>
    </row>
    <row r="101" spans="1:18" ht="15.75" customHeight="1" x14ac:dyDescent="0.25">
      <c r="A101" s="19"/>
      <c r="B101" s="20">
        <f>DATE(2019,11,1)</f>
        <v>43770</v>
      </c>
      <c r="C101" s="21">
        <v>367906</v>
      </c>
      <c r="D101" s="21">
        <v>343012</v>
      </c>
      <c r="E101" s="23">
        <f t="shared" si="40"/>
        <v>7.2574720417944563E-2</v>
      </c>
      <c r="F101" s="21">
        <f>+C101-173004</f>
        <v>194902</v>
      </c>
      <c r="G101" s="21">
        <f>+D101-162356</f>
        <v>180656</v>
      </c>
      <c r="H101" s="23">
        <f t="shared" si="41"/>
        <v>7.8857054291028253E-2</v>
      </c>
      <c r="I101" s="24">
        <f t="shared" si="42"/>
        <v>45.065145172951787</v>
      </c>
      <c r="J101" s="24">
        <f t="shared" si="43"/>
        <v>85.06704548952807</v>
      </c>
      <c r="K101" s="21">
        <v>16579737.300000001</v>
      </c>
      <c r="L101" s="21">
        <v>14816733.57</v>
      </c>
      <c r="M101" s="25">
        <f t="shared" si="44"/>
        <v>0.118987341013516</v>
      </c>
      <c r="N101" s="10"/>
      <c r="R101" s="2"/>
    </row>
    <row r="102" spans="1:18" ht="15.75" customHeight="1" x14ac:dyDescent="0.25">
      <c r="A102" s="19"/>
      <c r="B102" s="20">
        <f>DATE(2019,12,1)</f>
        <v>43800</v>
      </c>
      <c r="C102" s="21">
        <v>375779</v>
      </c>
      <c r="D102" s="21">
        <v>404087</v>
      </c>
      <c r="E102" s="23">
        <f t="shared" si="40"/>
        <v>-7.0054220996963526E-2</v>
      </c>
      <c r="F102" s="21">
        <f>+C102-181369</f>
        <v>194410</v>
      </c>
      <c r="G102" s="21">
        <f>+D102-195394</f>
        <v>208693</v>
      </c>
      <c r="H102" s="23">
        <f t="shared" si="41"/>
        <v>-6.844024476144385E-2</v>
      </c>
      <c r="I102" s="24">
        <f t="shared" si="42"/>
        <v>41.740704376774644</v>
      </c>
      <c r="J102" s="24">
        <f t="shared" si="43"/>
        <v>80.681447199218155</v>
      </c>
      <c r="K102" s="21">
        <v>15685280.15</v>
      </c>
      <c r="L102" s="21">
        <v>16895167.059999999</v>
      </c>
      <c r="M102" s="25">
        <f t="shared" si="44"/>
        <v>-7.1611420337148082E-2</v>
      </c>
      <c r="N102" s="10"/>
      <c r="R102" s="2"/>
    </row>
    <row r="103" spans="1:18" ht="15.75" customHeight="1" x14ac:dyDescent="0.25">
      <c r="A103" s="19"/>
      <c r="B103" s="20">
        <f>DATE(2020,1,1)</f>
        <v>43831</v>
      </c>
      <c r="C103" s="21">
        <v>330613</v>
      </c>
      <c r="D103" s="21">
        <v>340841</v>
      </c>
      <c r="E103" s="23">
        <f t="shared" si="40"/>
        <v>-3.0008126956557458E-2</v>
      </c>
      <c r="F103" s="21">
        <f>+C103-158076</f>
        <v>172537</v>
      </c>
      <c r="G103" s="21">
        <f>+D103-167445</f>
        <v>173396</v>
      </c>
      <c r="H103" s="23">
        <f t="shared" si="41"/>
        <v>-4.9539781771205799E-3</v>
      </c>
      <c r="I103" s="24">
        <f t="shared" si="42"/>
        <v>45.566521552389048</v>
      </c>
      <c r="J103" s="24">
        <f t="shared" si="43"/>
        <v>87.313934924103236</v>
      </c>
      <c r="K103" s="21">
        <v>15064884.390000001</v>
      </c>
      <c r="L103" s="21">
        <v>14098180.859999999</v>
      </c>
      <c r="M103" s="25">
        <f t="shared" si="44"/>
        <v>6.8569380659796786E-2</v>
      </c>
      <c r="N103" s="10"/>
      <c r="R103" s="2"/>
    </row>
    <row r="104" spans="1:18" ht="15.75" customHeight="1" x14ac:dyDescent="0.25">
      <c r="A104" s="19"/>
      <c r="B104" s="20">
        <f>DATE(2020,2,1)</f>
        <v>43862</v>
      </c>
      <c r="C104" s="21">
        <v>374709</v>
      </c>
      <c r="D104" s="21">
        <v>343444</v>
      </c>
      <c r="E104" s="23">
        <f t="shared" si="40"/>
        <v>9.1033763874168713E-2</v>
      </c>
      <c r="F104" s="21">
        <f>+C104-179401</f>
        <v>195308</v>
      </c>
      <c r="G104" s="21">
        <f>+D104-166468</f>
        <v>176976</v>
      </c>
      <c r="H104" s="23">
        <f t="shared" si="41"/>
        <v>0.10358466684748215</v>
      </c>
      <c r="I104" s="24">
        <f t="shared" si="42"/>
        <v>45.553946235612173</v>
      </c>
      <c r="J104" s="24">
        <f t="shared" si="43"/>
        <v>87.397718680238398</v>
      </c>
      <c r="K104" s="21">
        <v>17069473.640000001</v>
      </c>
      <c r="L104" s="21">
        <v>14934409.32</v>
      </c>
      <c r="M104" s="25">
        <f t="shared" si="44"/>
        <v>0.14296275629333027</v>
      </c>
      <c r="N104" s="10"/>
      <c r="R104" s="2"/>
    </row>
    <row r="105" spans="1:18" ht="15.75" customHeight="1" thickBot="1" x14ac:dyDescent="0.3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39" t="s">
        <v>14</v>
      </c>
      <c r="B106" s="40"/>
      <c r="C106" s="41">
        <f>SUM(C97:C105)</f>
        <v>2896058</v>
      </c>
      <c r="D106" s="41">
        <f>SUM(D97:D105)</f>
        <v>2991140</v>
      </c>
      <c r="E106" s="279">
        <f>(+C106-D106)/D106</f>
        <v>-3.1787880206209006E-2</v>
      </c>
      <c r="F106" s="41">
        <f>SUM(F97:F105)</f>
        <v>1512424</v>
      </c>
      <c r="G106" s="41">
        <f>SUM(G97:G105)</f>
        <v>1543332</v>
      </c>
      <c r="H106" s="42">
        <f>(+F106-G106)/G106</f>
        <v>-2.0026799159221734E-2</v>
      </c>
      <c r="I106" s="43">
        <f>K106/C106</f>
        <v>44.368039897681605</v>
      </c>
      <c r="J106" s="43">
        <f>K106/F106</f>
        <v>84.957933020105472</v>
      </c>
      <c r="K106" s="41">
        <f>SUM(K97:K105)</f>
        <v>128492416.89</v>
      </c>
      <c r="L106" s="41">
        <f>SUM(L97:L105)</f>
        <v>127846484.30000001</v>
      </c>
      <c r="M106" s="44">
        <f>(+K106-L106)/L106</f>
        <v>5.0524079213963074E-3</v>
      </c>
      <c r="N106" s="10"/>
      <c r="R106" s="2"/>
    </row>
    <row r="107" spans="1:18" ht="15.75" customHeight="1" thickTop="1" x14ac:dyDescent="0.2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 x14ac:dyDescent="0.25">
      <c r="A108" s="19" t="s">
        <v>58</v>
      </c>
      <c r="B108" s="20">
        <f>DATE(2019,7,1)</f>
        <v>43647</v>
      </c>
      <c r="C108" s="21">
        <v>420442</v>
      </c>
      <c r="D108" s="21">
        <v>437171</v>
      </c>
      <c r="E108" s="23">
        <f t="shared" ref="E108:E115" si="45">(+C108-D108)/D108</f>
        <v>-3.8266490686710695E-2</v>
      </c>
      <c r="F108" s="21">
        <f>+C108-190554</f>
        <v>229888</v>
      </c>
      <c r="G108" s="21">
        <f>+D108-202695</f>
        <v>234476</v>
      </c>
      <c r="H108" s="23">
        <f t="shared" ref="H108:H115" si="46">(+F108-G108)/G108</f>
        <v>-1.9567034579231989E-2</v>
      </c>
      <c r="I108" s="24">
        <f t="shared" ref="I108:I115" si="47">K108/C108</f>
        <v>43.352571341588138</v>
      </c>
      <c r="J108" s="24">
        <f t="shared" ref="J108:J115" si="48">K108/F108</f>
        <v>79.287486950167036</v>
      </c>
      <c r="K108" s="21">
        <v>18227241.800000001</v>
      </c>
      <c r="L108" s="21">
        <v>19587162.530000001</v>
      </c>
      <c r="M108" s="25">
        <f t="shared" ref="M108:M115" si="49">(+K108-L108)/L108</f>
        <v>-6.9429184953008122E-2</v>
      </c>
      <c r="N108" s="10"/>
      <c r="R108" s="2"/>
    </row>
    <row r="109" spans="1:18" ht="15.75" customHeight="1" x14ac:dyDescent="0.25">
      <c r="A109" s="19"/>
      <c r="B109" s="20">
        <f>DATE(2019,8,1)</f>
        <v>43678</v>
      </c>
      <c r="C109" s="21">
        <v>440157</v>
      </c>
      <c r="D109" s="21">
        <v>428435</v>
      </c>
      <c r="E109" s="23">
        <f t="shared" si="45"/>
        <v>2.7360042947004795E-2</v>
      </c>
      <c r="F109" s="21">
        <f>+C109-199137</f>
        <v>241020</v>
      </c>
      <c r="G109" s="21">
        <f>+D109-198491</f>
        <v>229944</v>
      </c>
      <c r="H109" s="23">
        <f t="shared" si="46"/>
        <v>4.8168249660786977E-2</v>
      </c>
      <c r="I109" s="24">
        <f t="shared" si="47"/>
        <v>44.349903102756521</v>
      </c>
      <c r="J109" s="24">
        <f t="shared" si="48"/>
        <v>80.992947888142069</v>
      </c>
      <c r="K109" s="21">
        <v>19520920.300000001</v>
      </c>
      <c r="L109" s="21">
        <v>19072987.460000001</v>
      </c>
      <c r="M109" s="25">
        <f t="shared" si="49"/>
        <v>2.3485195538423525E-2</v>
      </c>
      <c r="N109" s="10"/>
      <c r="R109" s="2"/>
    </row>
    <row r="110" spans="1:18" ht="15.75" customHeight="1" x14ac:dyDescent="0.25">
      <c r="A110" s="19"/>
      <c r="B110" s="20">
        <f>DATE(2019,9,1)</f>
        <v>43709</v>
      </c>
      <c r="C110" s="21">
        <v>423584</v>
      </c>
      <c r="D110" s="21">
        <v>430488</v>
      </c>
      <c r="E110" s="23">
        <f t="shared" si="45"/>
        <v>-1.6037613127427477E-2</v>
      </c>
      <c r="F110" s="21">
        <f>+C110-190859</f>
        <v>232725</v>
      </c>
      <c r="G110" s="21">
        <f>+D110-198602</f>
        <v>231886</v>
      </c>
      <c r="H110" s="23">
        <f t="shared" si="46"/>
        <v>3.6181571979334672E-3</v>
      </c>
      <c r="I110" s="24">
        <f t="shared" si="47"/>
        <v>43.580134117435975</v>
      </c>
      <c r="J110" s="24">
        <f t="shared" si="48"/>
        <v>79.320431969062199</v>
      </c>
      <c r="K110" s="21">
        <v>18459847.530000001</v>
      </c>
      <c r="L110" s="21">
        <v>18193233.449999999</v>
      </c>
      <c r="M110" s="25">
        <f t="shared" si="49"/>
        <v>1.4654573676126931E-2</v>
      </c>
      <c r="N110" s="10"/>
      <c r="R110" s="2"/>
    </row>
    <row r="111" spans="1:18" ht="15.75" customHeight="1" x14ac:dyDescent="0.25">
      <c r="A111" s="19"/>
      <c r="B111" s="20">
        <f>DATE(2019,10,1)</f>
        <v>43739</v>
      </c>
      <c r="C111" s="21">
        <v>422309</v>
      </c>
      <c r="D111" s="21">
        <v>407351</v>
      </c>
      <c r="E111" s="23">
        <f t="shared" si="45"/>
        <v>3.6720174984227361E-2</v>
      </c>
      <c r="F111" s="21">
        <f>+C111-185957</f>
        <v>236352</v>
      </c>
      <c r="G111" s="21">
        <f>+D111-184649</f>
        <v>222702</v>
      </c>
      <c r="H111" s="23">
        <f t="shared" si="46"/>
        <v>6.1292669127354045E-2</v>
      </c>
      <c r="I111" s="24">
        <f t="shared" si="47"/>
        <v>44.095064253899395</v>
      </c>
      <c r="J111" s="24">
        <f t="shared" si="48"/>
        <v>78.788173952409963</v>
      </c>
      <c r="K111" s="21">
        <v>18621742.489999998</v>
      </c>
      <c r="L111" s="21">
        <v>16758743.75</v>
      </c>
      <c r="M111" s="25">
        <f t="shared" si="49"/>
        <v>0.11116577517929996</v>
      </c>
      <c r="N111" s="10"/>
      <c r="R111" s="2"/>
    </row>
    <row r="112" spans="1:18" ht="15.75" customHeight="1" x14ac:dyDescent="0.25">
      <c r="A112" s="19"/>
      <c r="B112" s="20">
        <f>DATE(2019,11,1)</f>
        <v>43770</v>
      </c>
      <c r="C112" s="21">
        <v>434843</v>
      </c>
      <c r="D112" s="21">
        <v>411941</v>
      </c>
      <c r="E112" s="23">
        <f t="shared" si="45"/>
        <v>5.5595340109384599E-2</v>
      </c>
      <c r="F112" s="21">
        <f>+C112-195427</f>
        <v>239416</v>
      </c>
      <c r="G112" s="21">
        <f>+D112-188303</f>
        <v>223638</v>
      </c>
      <c r="H112" s="23">
        <f t="shared" si="46"/>
        <v>7.0551516289718202E-2</v>
      </c>
      <c r="I112" s="24">
        <f t="shared" si="47"/>
        <v>45.420087594833078</v>
      </c>
      <c r="J112" s="24">
        <f t="shared" si="48"/>
        <v>82.494934131386373</v>
      </c>
      <c r="K112" s="21">
        <v>19750607.149999999</v>
      </c>
      <c r="L112" s="21">
        <v>19508179.460000001</v>
      </c>
      <c r="M112" s="25">
        <f t="shared" si="49"/>
        <v>1.2426976617529928E-2</v>
      </c>
      <c r="N112" s="10"/>
      <c r="R112" s="2"/>
    </row>
    <row r="113" spans="1:18" ht="15.75" customHeight="1" x14ac:dyDescent="0.25">
      <c r="A113" s="19"/>
      <c r="B113" s="20">
        <f>DATE(2019,12,1)</f>
        <v>43800</v>
      </c>
      <c r="C113" s="21">
        <v>424920</v>
      </c>
      <c r="D113" s="21">
        <v>472920</v>
      </c>
      <c r="E113" s="23">
        <f t="shared" si="45"/>
        <v>-0.10149708195889368</v>
      </c>
      <c r="F113" s="21">
        <f>+C113-195550</f>
        <v>229370</v>
      </c>
      <c r="G113" s="21">
        <f>+D113-218118</f>
        <v>254802</v>
      </c>
      <c r="H113" s="23">
        <f t="shared" si="46"/>
        <v>-9.9810833509941049E-2</v>
      </c>
      <c r="I113" s="24">
        <f t="shared" si="47"/>
        <v>46.924102066271296</v>
      </c>
      <c r="J113" s="24">
        <f t="shared" si="48"/>
        <v>86.929369359550066</v>
      </c>
      <c r="K113" s="21">
        <v>19938989.449999999</v>
      </c>
      <c r="L113" s="21">
        <v>20559094.579999998</v>
      </c>
      <c r="M113" s="25">
        <f t="shared" si="49"/>
        <v>-3.0162083626155439E-2</v>
      </c>
      <c r="N113" s="10"/>
      <c r="R113" s="2"/>
    </row>
    <row r="114" spans="1:18" ht="15.75" customHeight="1" x14ac:dyDescent="0.25">
      <c r="A114" s="19"/>
      <c r="B114" s="20">
        <f>DATE(2020,1,1)</f>
        <v>43831</v>
      </c>
      <c r="C114" s="21">
        <v>412724</v>
      </c>
      <c r="D114" s="21">
        <v>350517</v>
      </c>
      <c r="E114" s="23">
        <f t="shared" si="45"/>
        <v>0.17747213401917739</v>
      </c>
      <c r="F114" s="21">
        <f>+C114-198460</f>
        <v>214264</v>
      </c>
      <c r="G114" s="21">
        <f>+D114-164493</f>
        <v>186024</v>
      </c>
      <c r="H114" s="23">
        <f t="shared" si="46"/>
        <v>0.15180836881262633</v>
      </c>
      <c r="I114" s="24">
        <f t="shared" si="47"/>
        <v>45.893010922553572</v>
      </c>
      <c r="J114" s="24">
        <f t="shared" si="48"/>
        <v>88.400977485718542</v>
      </c>
      <c r="K114" s="21">
        <v>18941147.039999999</v>
      </c>
      <c r="L114" s="21">
        <v>16080175.630000001</v>
      </c>
      <c r="M114" s="25">
        <f t="shared" si="49"/>
        <v>0.177919164307038</v>
      </c>
      <c r="N114" s="10"/>
      <c r="R114" s="2"/>
    </row>
    <row r="115" spans="1:18" ht="15.75" customHeight="1" x14ac:dyDescent="0.25">
      <c r="A115" s="19"/>
      <c r="B115" s="20">
        <f>DATE(2020,2,1)</f>
        <v>43862</v>
      </c>
      <c r="C115" s="21">
        <v>435690</v>
      </c>
      <c r="D115" s="21">
        <v>392165</v>
      </c>
      <c r="E115" s="23">
        <f t="shared" si="45"/>
        <v>0.11098644703122411</v>
      </c>
      <c r="F115" s="21">
        <f>+C115-192836</f>
        <v>242854</v>
      </c>
      <c r="G115" s="21">
        <f>+D115-179856</f>
        <v>212309</v>
      </c>
      <c r="H115" s="23">
        <f t="shared" si="46"/>
        <v>0.14387049065277496</v>
      </c>
      <c r="I115" s="24">
        <f t="shared" si="47"/>
        <v>43.198524134132064</v>
      </c>
      <c r="J115" s="24">
        <f t="shared" si="48"/>
        <v>77.499917563639059</v>
      </c>
      <c r="K115" s="21">
        <v>18821164.98</v>
      </c>
      <c r="L115" s="21">
        <v>17454098.280000001</v>
      </c>
      <c r="M115" s="25">
        <f t="shared" si="49"/>
        <v>7.8323536287547429E-2</v>
      </c>
      <c r="N115" s="10"/>
      <c r="R115" s="2"/>
    </row>
    <row r="116" spans="1:18" ht="15.75" customHeight="1" thickBot="1" x14ac:dyDescent="0.3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39" t="s">
        <v>14</v>
      </c>
      <c r="B117" s="40"/>
      <c r="C117" s="41">
        <f>SUM(C108:C116)</f>
        <v>3414669</v>
      </c>
      <c r="D117" s="41">
        <f>SUM(D108:D116)</f>
        <v>3330988</v>
      </c>
      <c r="E117" s="279">
        <f>(+C117-D117)/D117</f>
        <v>2.5121975822188492E-2</v>
      </c>
      <c r="F117" s="41">
        <f>SUM(F108:F116)</f>
        <v>1865889</v>
      </c>
      <c r="G117" s="41">
        <f>SUM(G108:G116)</f>
        <v>1795781</v>
      </c>
      <c r="H117" s="42">
        <f>(+F117-G117)/G117</f>
        <v>3.9040395237503904E-2</v>
      </c>
      <c r="I117" s="43">
        <f>K117/C117</f>
        <v>44.596316872879925</v>
      </c>
      <c r="J117" s="43">
        <f>K117/F117</f>
        <v>81.613461861879244</v>
      </c>
      <c r="K117" s="41">
        <f>SUM(K108:K116)</f>
        <v>152281660.74000001</v>
      </c>
      <c r="L117" s="41">
        <f>SUM(L108:L116)</f>
        <v>147213675.13999999</v>
      </c>
      <c r="M117" s="44">
        <f>(+K117-L117)/L117</f>
        <v>3.4426051758984874E-2</v>
      </c>
      <c r="N117" s="10"/>
      <c r="R117" s="2"/>
    </row>
    <row r="118" spans="1:18" ht="15.75" customHeight="1" thickTop="1" x14ac:dyDescent="0.2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 x14ac:dyDescent="0.25">
      <c r="A119" s="19" t="s">
        <v>59</v>
      </c>
      <c r="B119" s="20">
        <f>DATE(2019,7,1)</f>
        <v>43647</v>
      </c>
      <c r="C119" s="21">
        <v>61327</v>
      </c>
      <c r="D119" s="21">
        <v>63934</v>
      </c>
      <c r="E119" s="23">
        <f t="shared" ref="E119:E126" si="50">(+C119-D119)/D119</f>
        <v>-4.0776425688991771E-2</v>
      </c>
      <c r="F119" s="21">
        <f>+C119-29380</f>
        <v>31947</v>
      </c>
      <c r="G119" s="21">
        <f>+D119-30110</f>
        <v>33824</v>
      </c>
      <c r="H119" s="23">
        <f t="shared" ref="H119:H126" si="51">(+F119-G119)/G119</f>
        <v>-5.5493140964995268E-2</v>
      </c>
      <c r="I119" s="24">
        <f t="shared" ref="I119:I126" si="52">K119/C119</f>
        <v>44.824024328599151</v>
      </c>
      <c r="J119" s="24">
        <f t="shared" ref="J119:J126" si="53">K119/F119</f>
        <v>86.046356152377371</v>
      </c>
      <c r="K119" s="21">
        <v>2748922.94</v>
      </c>
      <c r="L119" s="21">
        <v>2819787.79</v>
      </c>
      <c r="M119" s="25">
        <f t="shared" ref="M119:M126" si="54">(+K119-L119)/L119</f>
        <v>-2.5131270605296185E-2</v>
      </c>
      <c r="N119" s="10"/>
      <c r="R119" s="2"/>
    </row>
    <row r="120" spans="1:18" ht="15" customHeight="1" x14ac:dyDescent="0.25">
      <c r="A120" s="19"/>
      <c r="B120" s="20">
        <f>DATE(2019,8,1)</f>
        <v>43678</v>
      </c>
      <c r="C120" s="21">
        <v>62887</v>
      </c>
      <c r="D120" s="21">
        <v>61004</v>
      </c>
      <c r="E120" s="23">
        <f t="shared" si="50"/>
        <v>3.0866828404694773E-2</v>
      </c>
      <c r="F120" s="21">
        <f>+C120-30695</f>
        <v>32192</v>
      </c>
      <c r="G120" s="21">
        <f>+D120-29259</f>
        <v>31745</v>
      </c>
      <c r="H120" s="23">
        <f t="shared" si="51"/>
        <v>1.4080957631123011E-2</v>
      </c>
      <c r="I120" s="24">
        <f t="shared" si="52"/>
        <v>47.076432649037166</v>
      </c>
      <c r="J120" s="24">
        <f t="shared" si="53"/>
        <v>91.963705889662037</v>
      </c>
      <c r="K120" s="21">
        <v>2960495.62</v>
      </c>
      <c r="L120" s="21">
        <v>2779592.61</v>
      </c>
      <c r="M120" s="25">
        <f t="shared" si="54"/>
        <v>6.5082562584594092E-2</v>
      </c>
      <c r="N120" s="10"/>
      <c r="R120" s="2"/>
    </row>
    <row r="121" spans="1:18" ht="15" customHeight="1" x14ac:dyDescent="0.25">
      <c r="A121" s="19"/>
      <c r="B121" s="20">
        <f>DATE(2019,9,1)</f>
        <v>43709</v>
      </c>
      <c r="C121" s="21">
        <v>59108</v>
      </c>
      <c r="D121" s="21">
        <v>57391</v>
      </c>
      <c r="E121" s="23">
        <f t="shared" si="50"/>
        <v>2.9917582896272936E-2</v>
      </c>
      <c r="F121" s="21">
        <f>+C121-28508</f>
        <v>30600</v>
      </c>
      <c r="G121" s="21">
        <f>+D121-27760</f>
        <v>29631</v>
      </c>
      <c r="H121" s="23">
        <f t="shared" si="51"/>
        <v>3.2702237521514632E-2</v>
      </c>
      <c r="I121" s="24">
        <f t="shared" si="52"/>
        <v>45.641732422007173</v>
      </c>
      <c r="J121" s="24">
        <f t="shared" si="53"/>
        <v>88.163121568627446</v>
      </c>
      <c r="K121" s="21">
        <v>2697791.52</v>
      </c>
      <c r="L121" s="21">
        <v>2617109.27</v>
      </c>
      <c r="M121" s="25">
        <f t="shared" si="54"/>
        <v>3.082876627463094E-2</v>
      </c>
      <c r="N121" s="10"/>
      <c r="R121" s="2"/>
    </row>
    <row r="122" spans="1:18" ht="15" customHeight="1" x14ac:dyDescent="0.25">
      <c r="A122" s="19"/>
      <c r="B122" s="20">
        <f>DATE(2019,10,1)</f>
        <v>43739</v>
      </c>
      <c r="C122" s="21">
        <v>56197</v>
      </c>
      <c r="D122" s="21">
        <v>54970</v>
      </c>
      <c r="E122" s="23">
        <f t="shared" si="50"/>
        <v>2.2321266145170094E-2</v>
      </c>
      <c r="F122" s="21">
        <f>+C122-27661</f>
        <v>28536</v>
      </c>
      <c r="G122" s="21">
        <f>+D122-26236</f>
        <v>28734</v>
      </c>
      <c r="H122" s="23">
        <f t="shared" si="51"/>
        <v>-6.8907913969513471E-3</v>
      </c>
      <c r="I122" s="24">
        <f t="shared" si="52"/>
        <v>50.092445860099296</v>
      </c>
      <c r="J122" s="24">
        <f t="shared" si="53"/>
        <v>98.648905943369783</v>
      </c>
      <c r="K122" s="21">
        <v>2815045.18</v>
      </c>
      <c r="L122" s="21">
        <v>2535463.88</v>
      </c>
      <c r="M122" s="25">
        <f t="shared" si="54"/>
        <v>0.11026830325029134</v>
      </c>
      <c r="N122" s="10"/>
      <c r="R122" s="2"/>
    </row>
    <row r="123" spans="1:18" ht="15" customHeight="1" x14ac:dyDescent="0.25">
      <c r="A123" s="19"/>
      <c r="B123" s="20">
        <f>DATE(2019,11,1)</f>
        <v>43770</v>
      </c>
      <c r="C123" s="21">
        <v>56040</v>
      </c>
      <c r="D123" s="21">
        <v>49028</v>
      </c>
      <c r="E123" s="23">
        <f t="shared" si="50"/>
        <v>0.14302031492208533</v>
      </c>
      <c r="F123" s="21">
        <f>+C123-27978</f>
        <v>28062</v>
      </c>
      <c r="G123" s="21">
        <f>+D123-24232</f>
        <v>24796</v>
      </c>
      <c r="H123" s="23">
        <f t="shared" si="51"/>
        <v>0.13171479270850137</v>
      </c>
      <c r="I123" s="24">
        <f t="shared" si="52"/>
        <v>52.130084939329052</v>
      </c>
      <c r="J123" s="24">
        <f t="shared" si="53"/>
        <v>104.10412515145036</v>
      </c>
      <c r="K123" s="21">
        <v>2921369.96</v>
      </c>
      <c r="L123" s="21">
        <v>2404704.69</v>
      </c>
      <c r="M123" s="25">
        <f t="shared" si="54"/>
        <v>0.21485601627033882</v>
      </c>
      <c r="N123" s="10"/>
      <c r="R123" s="2"/>
    </row>
    <row r="124" spans="1:18" ht="15" customHeight="1" x14ac:dyDescent="0.25">
      <c r="A124" s="19"/>
      <c r="B124" s="20">
        <f>DATE(2019,12,1)</f>
        <v>43800</v>
      </c>
      <c r="C124" s="21">
        <v>57797</v>
      </c>
      <c r="D124" s="21">
        <v>58147</v>
      </c>
      <c r="E124" s="23">
        <f t="shared" si="50"/>
        <v>-6.0192271312363493E-3</v>
      </c>
      <c r="F124" s="21">
        <f>+C124-28840</f>
        <v>28957</v>
      </c>
      <c r="G124" s="21">
        <f>+D124-29074</f>
        <v>29073</v>
      </c>
      <c r="H124" s="23">
        <f t="shared" si="51"/>
        <v>-3.9899563168575656E-3</v>
      </c>
      <c r="I124" s="24">
        <f t="shared" si="52"/>
        <v>48.264124781563062</v>
      </c>
      <c r="J124" s="24">
        <f t="shared" si="53"/>
        <v>96.333239631177264</v>
      </c>
      <c r="K124" s="21">
        <v>2789521.62</v>
      </c>
      <c r="L124" s="21">
        <v>2611923.73</v>
      </c>
      <c r="M124" s="25">
        <f t="shared" si="54"/>
        <v>6.7995052060727715E-2</v>
      </c>
      <c r="N124" s="10"/>
      <c r="R124" s="2"/>
    </row>
    <row r="125" spans="1:18" ht="15" customHeight="1" x14ac:dyDescent="0.25">
      <c r="A125" s="19"/>
      <c r="B125" s="20">
        <f>DATE(2020,1,1)</f>
        <v>43831</v>
      </c>
      <c r="C125" s="21">
        <v>48934</v>
      </c>
      <c r="D125" s="21">
        <v>41757</v>
      </c>
      <c r="E125" s="23">
        <f t="shared" si="50"/>
        <v>0.17187537418875878</v>
      </c>
      <c r="F125" s="21">
        <f>+C125-24962</f>
        <v>23972</v>
      </c>
      <c r="G125" s="21">
        <f>+D125-21350</f>
        <v>20407</v>
      </c>
      <c r="H125" s="23">
        <f t="shared" si="51"/>
        <v>0.17469495761258391</v>
      </c>
      <c r="I125" s="24">
        <f t="shared" si="52"/>
        <v>52.257414067928224</v>
      </c>
      <c r="J125" s="24">
        <f t="shared" si="53"/>
        <v>106.67296429167361</v>
      </c>
      <c r="K125" s="21">
        <v>2557164.2999999998</v>
      </c>
      <c r="L125" s="21">
        <v>2055487.97</v>
      </c>
      <c r="M125" s="25">
        <f t="shared" si="54"/>
        <v>0.2440667799189308</v>
      </c>
      <c r="N125" s="10"/>
      <c r="R125" s="2"/>
    </row>
    <row r="126" spans="1:18" ht="15" customHeight="1" x14ac:dyDescent="0.25">
      <c r="A126" s="19"/>
      <c r="B126" s="20">
        <f>DATE(2020,2,1)</f>
        <v>43862</v>
      </c>
      <c r="C126" s="21">
        <v>57643</v>
      </c>
      <c r="D126" s="21">
        <v>48742</v>
      </c>
      <c r="E126" s="23">
        <f t="shared" si="50"/>
        <v>0.18261458290591276</v>
      </c>
      <c r="F126" s="21">
        <f>+C126-29130</f>
        <v>28513</v>
      </c>
      <c r="G126" s="21">
        <f>+D126-24917</f>
        <v>23825</v>
      </c>
      <c r="H126" s="23">
        <f t="shared" si="51"/>
        <v>0.19676810073452256</v>
      </c>
      <c r="I126" s="24">
        <f t="shared" si="52"/>
        <v>52.004041080443415</v>
      </c>
      <c r="J126" s="24">
        <f t="shared" si="53"/>
        <v>105.13341072493249</v>
      </c>
      <c r="K126" s="21">
        <v>2997668.94</v>
      </c>
      <c r="L126" s="21">
        <v>2440368.92</v>
      </c>
      <c r="M126" s="25">
        <f t="shared" si="54"/>
        <v>0.22836711918130806</v>
      </c>
      <c r="N126" s="10"/>
      <c r="R126" s="2"/>
    </row>
    <row r="127" spans="1:18" ht="15.75" thickBot="1" x14ac:dyDescent="0.25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7.25" thickTop="1" thickBot="1" x14ac:dyDescent="0.3">
      <c r="A128" s="62" t="s">
        <v>14</v>
      </c>
      <c r="B128" s="52"/>
      <c r="C128" s="48">
        <f>SUM(C119:C127)</f>
        <v>459933</v>
      </c>
      <c r="D128" s="48">
        <f>SUM(D119:D127)</f>
        <v>434973</v>
      </c>
      <c r="E128" s="279">
        <f>(+C128-D128)/D128</f>
        <v>5.7382872040333537E-2</v>
      </c>
      <c r="F128" s="48">
        <f>SUM(F119:F127)</f>
        <v>232779</v>
      </c>
      <c r="G128" s="48">
        <f>SUM(G119:G127)</f>
        <v>222035</v>
      </c>
      <c r="H128" s="42">
        <f>(+F128-G128)/G128</f>
        <v>4.8388767536649627E-2</v>
      </c>
      <c r="I128" s="50">
        <f>K128/C128</f>
        <v>48.894034739842546</v>
      </c>
      <c r="J128" s="50">
        <f>K128/F128</f>
        <v>96.606567087237252</v>
      </c>
      <c r="K128" s="48">
        <f>SUM(K119:K127)</f>
        <v>22487980.080000002</v>
      </c>
      <c r="L128" s="48">
        <f>SUM(L119:L127)</f>
        <v>20264438.859999999</v>
      </c>
      <c r="M128" s="44">
        <f>(+K128-L128)/L128</f>
        <v>0.10972626655796787</v>
      </c>
      <c r="N128" s="10"/>
      <c r="R128" s="2"/>
    </row>
    <row r="129" spans="1:18" ht="15.75" customHeight="1" thickTop="1" x14ac:dyDescent="0.25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.75" x14ac:dyDescent="0.25">
      <c r="A130" s="19" t="s">
        <v>19</v>
      </c>
      <c r="B130" s="20">
        <f>DATE(2019,7,1)</f>
        <v>43647</v>
      </c>
      <c r="C130" s="21">
        <v>447474</v>
      </c>
      <c r="D130" s="21">
        <v>470294</v>
      </c>
      <c r="E130" s="23">
        <f t="shared" ref="E130:E137" si="55">(+C130-D130)/D130</f>
        <v>-4.8522838905025366E-2</v>
      </c>
      <c r="F130" s="21">
        <f>+C130-208413</f>
        <v>239061</v>
      </c>
      <c r="G130" s="21">
        <f>+D130-224781</f>
        <v>245513</v>
      </c>
      <c r="H130" s="23">
        <f t="shared" ref="H130:H137" si="56">(+F130-G130)/G130</f>
        <v>-2.627966747178357E-2</v>
      </c>
      <c r="I130" s="24">
        <f t="shared" ref="I130:I137" si="57">K130/C130</f>
        <v>50.948363234511952</v>
      </c>
      <c r="J130" s="24">
        <f t="shared" ref="J130:J137" si="58">K130/F130</f>
        <v>95.365065359887225</v>
      </c>
      <c r="K130" s="21">
        <v>22798067.890000001</v>
      </c>
      <c r="L130" s="21">
        <v>23419555.780000001</v>
      </c>
      <c r="M130" s="25">
        <f t="shared" ref="M130:M137" si="59">(+K130-L130)/L130</f>
        <v>-2.6537134001949909E-2</v>
      </c>
      <c r="N130" s="10"/>
      <c r="R130" s="2"/>
    </row>
    <row r="131" spans="1:18" ht="15.75" x14ac:dyDescent="0.25">
      <c r="A131" s="19"/>
      <c r="B131" s="20">
        <f>DATE(2019,8,1)</f>
        <v>43678</v>
      </c>
      <c r="C131" s="21">
        <v>463395</v>
      </c>
      <c r="D131" s="21">
        <v>474770</v>
      </c>
      <c r="E131" s="23">
        <f t="shared" si="55"/>
        <v>-2.39589696063357E-2</v>
      </c>
      <c r="F131" s="21">
        <f>+C131-219743</f>
        <v>243652</v>
      </c>
      <c r="G131" s="21">
        <f>+D131-232249</f>
        <v>242521</v>
      </c>
      <c r="H131" s="23">
        <f t="shared" si="56"/>
        <v>4.663513675104424E-3</v>
      </c>
      <c r="I131" s="24">
        <f t="shared" si="57"/>
        <v>50.067066649402783</v>
      </c>
      <c r="J131" s="24">
        <f t="shared" si="58"/>
        <v>95.22116933166977</v>
      </c>
      <c r="K131" s="21">
        <v>23200828.350000001</v>
      </c>
      <c r="L131" s="21">
        <v>23787231.309999999</v>
      </c>
      <c r="M131" s="25">
        <f t="shared" si="59"/>
        <v>-2.4652005622591192E-2</v>
      </c>
      <c r="N131" s="10"/>
      <c r="R131" s="2"/>
    </row>
    <row r="132" spans="1:18" ht="15.75" x14ac:dyDescent="0.25">
      <c r="A132" s="19"/>
      <c r="B132" s="20">
        <f>DATE(2019,9,1)</f>
        <v>43709</v>
      </c>
      <c r="C132" s="21">
        <v>425892</v>
      </c>
      <c r="D132" s="21">
        <v>439040</v>
      </c>
      <c r="E132" s="23">
        <f t="shared" si="55"/>
        <v>-2.9947157434402332E-2</v>
      </c>
      <c r="F132" s="21">
        <f>+C132-202215</f>
        <v>223677</v>
      </c>
      <c r="G132" s="21">
        <f>+D132-213778</f>
        <v>225262</v>
      </c>
      <c r="H132" s="23">
        <f t="shared" si="56"/>
        <v>-7.0362511209169764E-3</v>
      </c>
      <c r="I132" s="24">
        <f t="shared" si="57"/>
        <v>50.554840593389876</v>
      </c>
      <c r="J132" s="24">
        <f t="shared" si="58"/>
        <v>96.258900870451598</v>
      </c>
      <c r="K132" s="21">
        <v>21530902.170000002</v>
      </c>
      <c r="L132" s="21">
        <v>21674295.539999999</v>
      </c>
      <c r="M132" s="25">
        <f t="shared" si="59"/>
        <v>-6.6158260938799273E-3</v>
      </c>
      <c r="N132" s="10"/>
      <c r="R132" s="2"/>
    </row>
    <row r="133" spans="1:18" ht="15.75" x14ac:dyDescent="0.25">
      <c r="A133" s="19"/>
      <c r="B133" s="20">
        <f>DATE(2019,10,1)</f>
        <v>43739</v>
      </c>
      <c r="C133" s="21">
        <v>405696</v>
      </c>
      <c r="D133" s="21">
        <v>422287</v>
      </c>
      <c r="E133" s="23">
        <f t="shared" si="55"/>
        <v>-3.9288446009467494E-2</v>
      </c>
      <c r="F133" s="21">
        <f>+C133-186355</f>
        <v>219341</v>
      </c>
      <c r="G133" s="21">
        <f>+D133-199383</f>
        <v>222904</v>
      </c>
      <c r="H133" s="23">
        <f t="shared" si="56"/>
        <v>-1.5984459677708788E-2</v>
      </c>
      <c r="I133" s="24">
        <f t="shared" si="57"/>
        <v>53.730310848517121</v>
      </c>
      <c r="J133" s="24">
        <f t="shared" si="58"/>
        <v>99.380290005060615</v>
      </c>
      <c r="K133" s="21">
        <v>21798172.190000001</v>
      </c>
      <c r="L133" s="21">
        <v>20754214.07</v>
      </c>
      <c r="M133" s="25">
        <f t="shared" si="59"/>
        <v>5.0301019179956885E-2</v>
      </c>
      <c r="N133" s="10"/>
      <c r="R133" s="2"/>
    </row>
    <row r="134" spans="1:18" ht="15.75" x14ac:dyDescent="0.25">
      <c r="A134" s="19"/>
      <c r="B134" s="20">
        <f>DATE(2019,11,1)</f>
        <v>43770</v>
      </c>
      <c r="C134" s="21">
        <v>410474</v>
      </c>
      <c r="D134" s="21">
        <v>425527</v>
      </c>
      <c r="E134" s="23">
        <f t="shared" si="55"/>
        <v>-3.5374958580771609E-2</v>
      </c>
      <c r="F134" s="21">
        <f>+C134-191079</f>
        <v>219395</v>
      </c>
      <c r="G134" s="21">
        <f>+D134-204971</f>
        <v>220556</v>
      </c>
      <c r="H134" s="23">
        <f t="shared" si="56"/>
        <v>-5.2639692413718056E-3</v>
      </c>
      <c r="I134" s="24">
        <f t="shared" si="57"/>
        <v>50.735759073656304</v>
      </c>
      <c r="J134" s="24">
        <f t="shared" si="58"/>
        <v>94.923357277968961</v>
      </c>
      <c r="K134" s="21">
        <v>20825709.969999999</v>
      </c>
      <c r="L134" s="21">
        <v>21387450.190000001</v>
      </c>
      <c r="M134" s="25">
        <f t="shared" si="59"/>
        <v>-2.626494579810416E-2</v>
      </c>
      <c r="N134" s="10"/>
      <c r="R134" s="2"/>
    </row>
    <row r="135" spans="1:18" ht="15.75" x14ac:dyDescent="0.25">
      <c r="A135" s="19"/>
      <c r="B135" s="20">
        <f>DATE(2019,12,1)</f>
        <v>43800</v>
      </c>
      <c r="C135" s="21">
        <v>436988</v>
      </c>
      <c r="D135" s="21">
        <v>480889</v>
      </c>
      <c r="E135" s="23">
        <f t="shared" si="55"/>
        <v>-9.1291337502001496E-2</v>
      </c>
      <c r="F135" s="21">
        <f>+C135-202156</f>
        <v>234832</v>
      </c>
      <c r="G135" s="21">
        <f>+D135-230072</f>
        <v>250817</v>
      </c>
      <c r="H135" s="23">
        <f t="shared" si="56"/>
        <v>-6.3731724723603264E-2</v>
      </c>
      <c r="I135" s="24">
        <f t="shared" si="57"/>
        <v>50.367651239850979</v>
      </c>
      <c r="J135" s="24">
        <f t="shared" si="58"/>
        <v>93.726831011105816</v>
      </c>
      <c r="K135" s="21">
        <v>22010059.18</v>
      </c>
      <c r="L135" s="21">
        <v>23039096.699999999</v>
      </c>
      <c r="M135" s="25">
        <f t="shared" si="59"/>
        <v>-4.4664837923094426E-2</v>
      </c>
      <c r="N135" s="10"/>
      <c r="R135" s="2"/>
    </row>
    <row r="136" spans="1:18" ht="15.75" x14ac:dyDescent="0.25">
      <c r="A136" s="19"/>
      <c r="B136" s="20">
        <f>DATE(2020,1,1)</f>
        <v>43831</v>
      </c>
      <c r="C136" s="21">
        <v>413705</v>
      </c>
      <c r="D136" s="21">
        <v>389075</v>
      </c>
      <c r="E136" s="23">
        <f t="shared" si="55"/>
        <v>6.3303990233245525E-2</v>
      </c>
      <c r="F136" s="21">
        <f>+C136-196166</f>
        <v>217539</v>
      </c>
      <c r="G136" s="21">
        <f>+D136-191824</f>
        <v>197251</v>
      </c>
      <c r="H136" s="23">
        <f t="shared" si="56"/>
        <v>0.10285372444246163</v>
      </c>
      <c r="I136" s="24">
        <f t="shared" si="57"/>
        <v>51.174824645580784</v>
      </c>
      <c r="J136" s="24">
        <f t="shared" si="58"/>
        <v>97.321771406506414</v>
      </c>
      <c r="K136" s="21">
        <v>21171280.829999998</v>
      </c>
      <c r="L136" s="21">
        <v>19054517.329999998</v>
      </c>
      <c r="M136" s="25">
        <f t="shared" si="59"/>
        <v>0.11108985146883278</v>
      </c>
      <c r="N136" s="10"/>
      <c r="R136" s="2"/>
    </row>
    <row r="137" spans="1:18" ht="15.75" x14ac:dyDescent="0.25">
      <c r="A137" s="19"/>
      <c r="B137" s="20">
        <f>DATE(2020,2,1)</f>
        <v>43862</v>
      </c>
      <c r="C137" s="21">
        <v>430579</v>
      </c>
      <c r="D137" s="21">
        <v>399765</v>
      </c>
      <c r="E137" s="23">
        <f t="shared" si="55"/>
        <v>7.7080284667242011E-2</v>
      </c>
      <c r="F137" s="21">
        <f>+C137-205960</f>
        <v>224619</v>
      </c>
      <c r="G137" s="21">
        <f>+D137-193480</f>
        <v>206285</v>
      </c>
      <c r="H137" s="23">
        <f t="shared" si="56"/>
        <v>8.8877039047919146E-2</v>
      </c>
      <c r="I137" s="24">
        <f t="shared" si="57"/>
        <v>49.437842904554103</v>
      </c>
      <c r="J137" s="24">
        <f t="shared" si="58"/>
        <v>94.768906281303003</v>
      </c>
      <c r="K137" s="21">
        <v>21286896.960000001</v>
      </c>
      <c r="L137" s="21">
        <v>20892055.809999999</v>
      </c>
      <c r="M137" s="25">
        <f t="shared" si="59"/>
        <v>1.8899104692751741E-2</v>
      </c>
      <c r="N137" s="10"/>
      <c r="R137" s="2"/>
    </row>
    <row r="138" spans="1:18" ht="15.75" thickBot="1" x14ac:dyDescent="0.25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39" t="s">
        <v>14</v>
      </c>
      <c r="B139" s="40"/>
      <c r="C139" s="41">
        <f>SUM(C130:C138)</f>
        <v>3434203</v>
      </c>
      <c r="D139" s="41">
        <f>SUM(D130:D138)</f>
        <v>3501647</v>
      </c>
      <c r="E139" s="279">
        <f>(+C139-D139)/D139</f>
        <v>-1.9260650773764459E-2</v>
      </c>
      <c r="F139" s="41">
        <f>SUM(F130:F138)</f>
        <v>1822116</v>
      </c>
      <c r="G139" s="41">
        <f>SUM(G130:G138)</f>
        <v>1811109</v>
      </c>
      <c r="H139" s="42">
        <f>(+F139-G139)/G139</f>
        <v>6.0774917467695212E-3</v>
      </c>
      <c r="I139" s="43">
        <f>K139/C139</f>
        <v>50.847872865989572</v>
      </c>
      <c r="J139" s="43">
        <f>K139/F139</f>
        <v>95.834687550079138</v>
      </c>
      <c r="K139" s="41">
        <f>SUM(K130:K138)</f>
        <v>174621917.53999999</v>
      </c>
      <c r="L139" s="41">
        <f>SUM(L130:L138)</f>
        <v>174008416.72999999</v>
      </c>
      <c r="M139" s="44">
        <f>(+K139-L139)/L139</f>
        <v>3.5256961791218433E-3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63</v>
      </c>
      <c r="B141" s="20">
        <f>DATE(2019,7,1)</f>
        <v>43647</v>
      </c>
      <c r="C141" s="21">
        <v>77431</v>
      </c>
      <c r="D141" s="21">
        <v>83462</v>
      </c>
      <c r="E141" s="23">
        <f t="shared" ref="E141:E148" si="60">(+C141-D141)/D141</f>
        <v>-7.2260429896240208E-2</v>
      </c>
      <c r="F141" s="21">
        <f>+C141-35761</f>
        <v>41670</v>
      </c>
      <c r="G141" s="21">
        <f>+D141-37670</f>
        <v>45792</v>
      </c>
      <c r="H141" s="23">
        <f t="shared" ref="H141:H148" si="61">(+F141-G141)/G141</f>
        <v>-9.0015723270440245E-2</v>
      </c>
      <c r="I141" s="24">
        <f t="shared" ref="I141:I148" si="62">K141/C141</f>
        <v>43.866899303896368</v>
      </c>
      <c r="J141" s="24">
        <f t="shared" ref="J141:J148" si="63">K141/F141</f>
        <v>81.513268058555312</v>
      </c>
      <c r="K141" s="21">
        <v>3396657.88</v>
      </c>
      <c r="L141" s="21">
        <v>3596592.5</v>
      </c>
      <c r="M141" s="25">
        <f t="shared" ref="M141:M148" si="64">(+K141-L141)/L141</f>
        <v>-5.5590011934907861E-2</v>
      </c>
      <c r="N141" s="10"/>
      <c r="R141" s="2"/>
    </row>
    <row r="142" spans="1:18" ht="15.75" x14ac:dyDescent="0.25">
      <c r="A142" s="19"/>
      <c r="B142" s="20">
        <f>DATE(2019,8,1)</f>
        <v>43678</v>
      </c>
      <c r="C142" s="21">
        <v>83032</v>
      </c>
      <c r="D142" s="21">
        <v>82775</v>
      </c>
      <c r="E142" s="23">
        <f t="shared" si="60"/>
        <v>3.1048021745696164E-3</v>
      </c>
      <c r="F142" s="21">
        <f>+C142-37844</f>
        <v>45188</v>
      </c>
      <c r="G142" s="21">
        <f>+D142-37255</f>
        <v>45520</v>
      </c>
      <c r="H142" s="23">
        <f t="shared" si="61"/>
        <v>-7.2934973637961333E-3</v>
      </c>
      <c r="I142" s="24">
        <f t="shared" si="62"/>
        <v>42.053671957799402</v>
      </c>
      <c r="J142" s="24">
        <f t="shared" si="63"/>
        <v>77.272738116314073</v>
      </c>
      <c r="K142" s="21">
        <v>3491800.49</v>
      </c>
      <c r="L142" s="21">
        <v>3639194.09</v>
      </c>
      <c r="M142" s="25">
        <f t="shared" si="64"/>
        <v>-4.0501714488110643E-2</v>
      </c>
      <c r="N142" s="10"/>
      <c r="R142" s="2"/>
    </row>
    <row r="143" spans="1:18" ht="15.75" x14ac:dyDescent="0.25">
      <c r="A143" s="19"/>
      <c r="B143" s="20">
        <f>DATE(2019,9,1)</f>
        <v>43709</v>
      </c>
      <c r="C143" s="21">
        <v>70924</v>
      </c>
      <c r="D143" s="21">
        <v>77092</v>
      </c>
      <c r="E143" s="23">
        <f t="shared" si="60"/>
        <v>-8.0008301769314588E-2</v>
      </c>
      <c r="F143" s="21">
        <f>+C143-32729</f>
        <v>38195</v>
      </c>
      <c r="G143" s="21">
        <f>+D143-35421</f>
        <v>41671</v>
      </c>
      <c r="H143" s="23">
        <f t="shared" si="61"/>
        <v>-8.3415324806220159E-2</v>
      </c>
      <c r="I143" s="24">
        <f t="shared" si="62"/>
        <v>47.535936354407532</v>
      </c>
      <c r="J143" s="24">
        <f t="shared" si="63"/>
        <v>88.269112449273464</v>
      </c>
      <c r="K143" s="21">
        <v>3371438.75</v>
      </c>
      <c r="L143" s="21">
        <v>3422069</v>
      </c>
      <c r="M143" s="25">
        <f t="shared" si="64"/>
        <v>-1.4795215993599195E-2</v>
      </c>
      <c r="N143" s="10"/>
      <c r="R143" s="2"/>
    </row>
    <row r="144" spans="1:18" ht="15.75" x14ac:dyDescent="0.25">
      <c r="A144" s="19"/>
      <c r="B144" s="20">
        <f>DATE(2019,10,1)</f>
        <v>43739</v>
      </c>
      <c r="C144" s="21">
        <v>70482</v>
      </c>
      <c r="D144" s="21">
        <v>82223</v>
      </c>
      <c r="E144" s="23">
        <f t="shared" si="60"/>
        <v>-0.14279459518626175</v>
      </c>
      <c r="F144" s="21">
        <f>+C144-33635</f>
        <v>36847</v>
      </c>
      <c r="G144" s="21">
        <f>+D144-37480</f>
        <v>44743</v>
      </c>
      <c r="H144" s="23">
        <f t="shared" si="61"/>
        <v>-0.17647453232907942</v>
      </c>
      <c r="I144" s="24">
        <f t="shared" si="62"/>
        <v>46.451715189693822</v>
      </c>
      <c r="J144" s="24">
        <f t="shared" si="63"/>
        <v>88.854175102450682</v>
      </c>
      <c r="K144" s="21">
        <v>3274009.79</v>
      </c>
      <c r="L144" s="21">
        <v>3392612.93</v>
      </c>
      <c r="M144" s="25">
        <f t="shared" si="64"/>
        <v>-3.4959231261315782E-2</v>
      </c>
      <c r="N144" s="10"/>
      <c r="R144" s="2"/>
    </row>
    <row r="145" spans="1:18" ht="15.75" x14ac:dyDescent="0.25">
      <c r="A145" s="19"/>
      <c r="B145" s="20">
        <f>DATE(2019,11,1)</f>
        <v>43770</v>
      </c>
      <c r="C145" s="21">
        <v>73056</v>
      </c>
      <c r="D145" s="21">
        <v>76303</v>
      </c>
      <c r="E145" s="23">
        <f t="shared" si="60"/>
        <v>-4.2554028019868156E-2</v>
      </c>
      <c r="F145" s="21">
        <f>+C145-35437</f>
        <v>37619</v>
      </c>
      <c r="G145" s="21">
        <f>+D145-35181</f>
        <v>41122</v>
      </c>
      <c r="H145" s="23">
        <f t="shared" si="61"/>
        <v>-8.5185545450124023E-2</v>
      </c>
      <c r="I145" s="24">
        <f t="shared" si="62"/>
        <v>46.231660643889619</v>
      </c>
      <c r="J145" s="24">
        <f t="shared" si="63"/>
        <v>89.781764533879155</v>
      </c>
      <c r="K145" s="21">
        <v>3377500.2</v>
      </c>
      <c r="L145" s="21">
        <v>3366475.85</v>
      </c>
      <c r="M145" s="25">
        <f t="shared" si="64"/>
        <v>3.2747450126517593E-3</v>
      </c>
      <c r="N145" s="10"/>
      <c r="R145" s="2"/>
    </row>
    <row r="146" spans="1:18" ht="15.75" x14ac:dyDescent="0.25">
      <c r="A146" s="19"/>
      <c r="B146" s="20">
        <f>DATE(2019,12,1)</f>
        <v>43800</v>
      </c>
      <c r="C146" s="21">
        <v>74995</v>
      </c>
      <c r="D146" s="21">
        <v>85578</v>
      </c>
      <c r="E146" s="23">
        <f t="shared" si="60"/>
        <v>-0.12366496062072029</v>
      </c>
      <c r="F146" s="21">
        <f>+C146-35471</f>
        <v>39524</v>
      </c>
      <c r="G146" s="21">
        <f>+D146-40324</f>
        <v>45254</v>
      </c>
      <c r="H146" s="23">
        <f t="shared" si="61"/>
        <v>-0.12661864144606003</v>
      </c>
      <c r="I146" s="24">
        <f t="shared" si="62"/>
        <v>47.131188612574178</v>
      </c>
      <c r="J146" s="24">
        <f t="shared" si="63"/>
        <v>89.429295870863285</v>
      </c>
      <c r="K146" s="21">
        <v>3534603.49</v>
      </c>
      <c r="L146" s="21">
        <v>3763977.96</v>
      </c>
      <c r="M146" s="25">
        <f t="shared" si="64"/>
        <v>-6.0939376488803813E-2</v>
      </c>
      <c r="N146" s="10"/>
      <c r="R146" s="2"/>
    </row>
    <row r="147" spans="1:18" ht="15.75" x14ac:dyDescent="0.25">
      <c r="A147" s="19"/>
      <c r="B147" s="20">
        <f>DATE(2020,1,1)</f>
        <v>43831</v>
      </c>
      <c r="C147" s="21">
        <v>73278</v>
      </c>
      <c r="D147" s="21">
        <v>73768</v>
      </c>
      <c r="E147" s="23">
        <f t="shared" si="60"/>
        <v>-6.642446589307017E-3</v>
      </c>
      <c r="F147" s="21">
        <f>+C147-33277</f>
        <v>40001</v>
      </c>
      <c r="G147" s="21">
        <f>+D147-34302</f>
        <v>39466</v>
      </c>
      <c r="H147" s="23">
        <f t="shared" si="61"/>
        <v>1.3555972229260629E-2</v>
      </c>
      <c r="I147" s="24">
        <f t="shared" si="62"/>
        <v>46.581612762357054</v>
      </c>
      <c r="J147" s="24">
        <f t="shared" si="63"/>
        <v>85.333052173695663</v>
      </c>
      <c r="K147" s="21">
        <v>3413407.42</v>
      </c>
      <c r="L147" s="21">
        <v>3334980.73</v>
      </c>
      <c r="M147" s="25">
        <f t="shared" si="64"/>
        <v>2.3516384755842334E-2</v>
      </c>
      <c r="N147" s="10"/>
      <c r="R147" s="2"/>
    </row>
    <row r="148" spans="1:18" ht="15.75" x14ac:dyDescent="0.25">
      <c r="A148" s="19"/>
      <c r="B148" s="20">
        <f>DATE(2020,2,1)</f>
        <v>43862</v>
      </c>
      <c r="C148" s="21">
        <v>79497</v>
      </c>
      <c r="D148" s="21">
        <v>79911</v>
      </c>
      <c r="E148" s="23">
        <f t="shared" si="60"/>
        <v>-5.1807635995044484E-3</v>
      </c>
      <c r="F148" s="21">
        <f>+C148-36820</f>
        <v>42677</v>
      </c>
      <c r="G148" s="21">
        <f>+D148-38130</f>
        <v>41781</v>
      </c>
      <c r="H148" s="23">
        <f t="shared" si="61"/>
        <v>2.1445154496062803E-2</v>
      </c>
      <c r="I148" s="24">
        <f t="shared" si="62"/>
        <v>48.709759110406686</v>
      </c>
      <c r="J148" s="24">
        <f t="shared" si="63"/>
        <v>90.734581156126254</v>
      </c>
      <c r="K148" s="21">
        <v>3872279.72</v>
      </c>
      <c r="L148" s="21">
        <v>3559615.84</v>
      </c>
      <c r="M148" s="25">
        <f t="shared" si="64"/>
        <v>8.7836411021252322E-2</v>
      </c>
      <c r="N148" s="10"/>
      <c r="R148" s="2"/>
    </row>
    <row r="149" spans="1:18" ht="15.75" thickBot="1" x14ac:dyDescent="0.25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26" t="s">
        <v>14</v>
      </c>
      <c r="B150" s="27"/>
      <c r="C150" s="28">
        <f>SUM(C141:C149)</f>
        <v>602695</v>
      </c>
      <c r="D150" s="28">
        <f>SUM(D141:D149)</f>
        <v>641112</v>
      </c>
      <c r="E150" s="279">
        <f>(+C150-D150)/D150</f>
        <v>-5.9922447247906761E-2</v>
      </c>
      <c r="F150" s="28">
        <f>SUM(F141:F149)</f>
        <v>321721</v>
      </c>
      <c r="G150" s="28">
        <f>SUM(G141:G149)</f>
        <v>345349</v>
      </c>
      <c r="H150" s="42">
        <f>(+F150-G150)/G150</f>
        <v>-6.8417745526988635E-2</v>
      </c>
      <c r="I150" s="43">
        <f>K150/C150</f>
        <v>46.012821974630619</v>
      </c>
      <c r="J150" s="43">
        <f>K150/F150</f>
        <v>86.197971969501538</v>
      </c>
      <c r="K150" s="28">
        <f>SUM(K141:K149)</f>
        <v>27731697.740000002</v>
      </c>
      <c r="L150" s="28">
        <f>SUM(L141:L149)</f>
        <v>28075518.900000002</v>
      </c>
      <c r="M150" s="44">
        <f>(+K150-L150)/L150</f>
        <v>-1.2246297609836879E-2</v>
      </c>
      <c r="N150" s="10"/>
      <c r="R150" s="2"/>
    </row>
    <row r="151" spans="1:18" ht="16.5" thickTop="1" thickBot="1" x14ac:dyDescent="0.25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7.25" thickTop="1" thickBot="1" x14ac:dyDescent="0.3">
      <c r="A152" s="64" t="s">
        <v>20</v>
      </c>
      <c r="B152" s="65"/>
      <c r="C152" s="28">
        <f>C150+C139+C62+C84+C95+C40+C18+C106+C117+C51+C128+C29+C73</f>
        <v>24502142</v>
      </c>
      <c r="D152" s="28">
        <f>D150+D139+D62+D84+D95+D40+D18+D106+D117+D51+D128+D29+D73</f>
        <v>24929516</v>
      </c>
      <c r="E152" s="278">
        <f>(+C152-D152)/D152</f>
        <v>-1.7143293114876359E-2</v>
      </c>
      <c r="F152" s="28">
        <f>F150+F139+F62+F84+F95+F40+F18+F106+F117+F51+F128+F29+F73</f>
        <v>12942026</v>
      </c>
      <c r="G152" s="28">
        <f>G150+G139+G62+G84+G95+G40+G18+G106+G117+G51+G128+G29+G73</f>
        <v>13056856</v>
      </c>
      <c r="H152" s="30">
        <f>(+F152-G152)/G152</f>
        <v>-8.794613343365355E-3</v>
      </c>
      <c r="I152" s="31">
        <f>K152/C152</f>
        <v>47.202084577748344</v>
      </c>
      <c r="J152" s="31">
        <f>K152/F152</f>
        <v>89.364074760783197</v>
      </c>
      <c r="K152" s="28">
        <f>K150+K139+K62+K84+K95+K40+K18+K106+K117+K51+K128+K29+K73</f>
        <v>1156552179.02</v>
      </c>
      <c r="L152" s="28">
        <f>L150+L139+L62+L84+L95+L40+L18+L106+L117+L51+L128+L29+L73</f>
        <v>1134336325.2700002</v>
      </c>
      <c r="M152" s="32">
        <f>(+K152-L152)/L152</f>
        <v>1.9584891407503711E-2</v>
      </c>
      <c r="N152" s="10"/>
      <c r="R152" s="2"/>
    </row>
    <row r="153" spans="1:18" ht="17.25" thickTop="1" thickBot="1" x14ac:dyDescent="0.3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7.25" thickTop="1" thickBot="1" x14ac:dyDescent="0.3">
      <c r="A154" s="64" t="s">
        <v>21</v>
      </c>
      <c r="B154" s="65"/>
      <c r="C154" s="28">
        <f>SUM(C16+C27+C38+C49+C60+C71+C82+C93+C104+C115+C126+C137+C148)</f>
        <v>3133141</v>
      </c>
      <c r="D154" s="28">
        <f>SUM(D16+D27+D38+D49+D60+D71+D82+D93+D104+D115+D126+D137+D148)</f>
        <v>2886910</v>
      </c>
      <c r="E154" s="278">
        <f>(+C154-D154)/D154</f>
        <v>8.5292232871824886E-2</v>
      </c>
      <c r="F154" s="28">
        <f>SUM(F16+F27+F38+F49+F60+F71+F82+F93+F104+F115+F126+F137+F148)</f>
        <v>1638251</v>
      </c>
      <c r="G154" s="28">
        <f>SUM(G16+G27+G38+G49+G60+G71+G82+G93+G104+G115+G126+G137+G148)</f>
        <v>1500850</v>
      </c>
      <c r="H154" s="30">
        <f>(+F154-G154)/G154</f>
        <v>9.1548789019555585E-2</v>
      </c>
      <c r="I154" s="31">
        <f>K154/C154</f>
        <v>47.851491500063347</v>
      </c>
      <c r="J154" s="31">
        <f>K154/F154</f>
        <v>91.515567474092791</v>
      </c>
      <c r="K154" s="28">
        <f>SUM(K16+K27+K38+K49+K60+K71+K82+K93+K104+K115+K126+K137+K148)</f>
        <v>149925469.92999998</v>
      </c>
      <c r="L154" s="28">
        <f>SUM(L16+L27+L38+L49+L60+L71+L82+L93+L104+L115+L126+L137+L148)</f>
        <v>134278571.15000001</v>
      </c>
      <c r="M154" s="44">
        <f>(+K154-L154)/L154</f>
        <v>0.11652565741499529</v>
      </c>
      <c r="N154" s="10"/>
      <c r="R154" s="2"/>
    </row>
    <row r="155" spans="1:18" ht="15.75" thickTop="1" x14ac:dyDescent="0.2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8.75" x14ac:dyDescent="0.3">
      <c r="A156" s="264" t="s">
        <v>22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8" x14ac:dyDescent="0.25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.75" x14ac:dyDescent="0.2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x14ac:dyDescent="0.2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x14ac:dyDescent="0.2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.75" x14ac:dyDescent="0.2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.75" x14ac:dyDescent="0.2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.75" x14ac:dyDescent="0.2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.75" x14ac:dyDescent="0.2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.75" x14ac:dyDescent="0.2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 x14ac:dyDescent="0.2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78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STATS'!$C$20*2</f>
        <v>257754</v>
      </c>
      <c r="D10" s="89">
        <f>'MONTHLY STATS'!$C$31*2</f>
        <v>133644</v>
      </c>
      <c r="E10" s="89">
        <f>'MONTHLY STATS'!$C$42*2</f>
        <v>876434</v>
      </c>
      <c r="F10" s="89">
        <f>'MONTHLY STATS'!$C$53*2</f>
        <v>577518</v>
      </c>
      <c r="G10" s="89">
        <f>'MONTHLY STATS'!$C$64*2</f>
        <v>221856</v>
      </c>
      <c r="H10" s="89">
        <f>'MONTHLY STATS'!$C$75*2</f>
        <v>302822</v>
      </c>
      <c r="I10" s="89">
        <f>'MONTHLY STATS'!$C$86*2</f>
        <v>647442</v>
      </c>
      <c r="J10" s="89">
        <f>'MONTHLY STATS'!$C$97*2</f>
        <v>733218</v>
      </c>
      <c r="K10" s="89">
        <f>'MONTHLY STATS'!$C$108*2</f>
        <v>840884</v>
      </c>
      <c r="L10" s="89">
        <f>'MONTHLY STATS'!$C$119*2</f>
        <v>122654</v>
      </c>
      <c r="M10" s="89">
        <f>'MONTHLY STATS'!$C$130*2</f>
        <v>894948</v>
      </c>
      <c r="N10" s="89">
        <f>'MONTHLY STATS'!$C$141*2</f>
        <v>154862</v>
      </c>
      <c r="O10" s="90">
        <f t="shared" ref="O10:O15" si="0"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STATS'!$C$21*2</f>
        <v>260266</v>
      </c>
      <c r="D11" s="89">
        <f>'MONTHLY STATS'!$C$32*2</f>
        <v>138050</v>
      </c>
      <c r="E11" s="89">
        <f>'MONTHLY STATS'!$C$43*2</f>
        <v>874058</v>
      </c>
      <c r="F11" s="89">
        <f>'MONTHLY STATS'!$C$54*2</f>
        <v>585914</v>
      </c>
      <c r="G11" s="89">
        <f>'MONTHLY STATS'!$C$65*2</f>
        <v>228616</v>
      </c>
      <c r="H11" s="89">
        <f>'MONTHLY STATS'!$C$76*2</f>
        <v>306888</v>
      </c>
      <c r="I11" s="89">
        <f>'MONTHLY STATS'!$C$87*2</f>
        <v>649404</v>
      </c>
      <c r="J11" s="89">
        <f>'MONTHLY STATS'!$C$98*2</f>
        <v>769748</v>
      </c>
      <c r="K11" s="89">
        <f>'MONTHLY STATS'!$C$109*2</f>
        <v>880314</v>
      </c>
      <c r="L11" s="89">
        <f>'MONTHLY STATS'!$C$120*2</f>
        <v>125774</v>
      </c>
      <c r="M11" s="89">
        <f>'MONTHLY STATS'!$C$131*2</f>
        <v>926790</v>
      </c>
      <c r="N11" s="89">
        <f>'MONTHLY STATS'!$C$142*2</f>
        <v>166064</v>
      </c>
      <c r="O11" s="90">
        <f t="shared" si="0"/>
        <v>6465646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STATS'!$C$22*2</f>
        <v>236502</v>
      </c>
      <c r="D12" s="89">
        <f>'MONTHLY STATS'!$C$33*2</f>
        <v>131146</v>
      </c>
      <c r="E12" s="89">
        <f>'MONTHLY STATS'!$C$44*2</f>
        <v>807698</v>
      </c>
      <c r="F12" s="89">
        <f>'MONTHLY STATS'!$C$55*2</f>
        <v>553426</v>
      </c>
      <c r="G12" s="89">
        <f>'MONTHLY STATS'!$C$66*2</f>
        <v>217338</v>
      </c>
      <c r="H12" s="89">
        <f>'MONTHLY STATS'!$C$77*2</f>
        <v>286098</v>
      </c>
      <c r="I12" s="89">
        <f>'MONTHLY STATS'!$C$88*2</f>
        <v>601562</v>
      </c>
      <c r="J12" s="89">
        <f>'MONTHLY STATS'!$C$99*2</f>
        <v>696336</v>
      </c>
      <c r="K12" s="89">
        <f>'MONTHLY STATS'!$C$110*2</f>
        <v>847168</v>
      </c>
      <c r="L12" s="89">
        <f>'MONTHLY STATS'!$C$121*2</f>
        <v>118216</v>
      </c>
      <c r="M12" s="89">
        <f>'MONTHLY STATS'!$C$132*2</f>
        <v>851784</v>
      </c>
      <c r="N12" s="89">
        <f>'MONTHLY STATS'!$C$143*2</f>
        <v>141848</v>
      </c>
      <c r="O12" s="90">
        <f t="shared" si="0"/>
        <v>5997178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STATS'!$C$23*2</f>
        <v>226104</v>
      </c>
      <c r="D13" s="89">
        <f>'MONTHLY STATS'!$C$34*2</f>
        <v>126078</v>
      </c>
      <c r="E13" s="89">
        <f>'MONTHLY STATS'!$C$45*2</f>
        <v>793172</v>
      </c>
      <c r="F13" s="89">
        <f>'MONTHLY STATS'!$C$56*2</f>
        <v>530564</v>
      </c>
      <c r="G13" s="89">
        <f>'MONTHLY STATS'!$C$67*2</f>
        <v>217270</v>
      </c>
      <c r="H13" s="89">
        <f>'MONTHLY STATS'!$C$78*2</f>
        <v>294266</v>
      </c>
      <c r="I13" s="89">
        <f>'MONTHLY STATS'!$C$89*2</f>
        <v>567078</v>
      </c>
      <c r="J13" s="89">
        <f>'MONTHLY STATS'!$C$100*2</f>
        <v>694800</v>
      </c>
      <c r="K13" s="89">
        <f>'MONTHLY STATS'!$C$111*2</f>
        <v>844618</v>
      </c>
      <c r="L13" s="89">
        <f>'MONTHLY STATS'!$C$122*2</f>
        <v>112394</v>
      </c>
      <c r="M13" s="89">
        <f>'MONTHLY STATS'!$C$133*2</f>
        <v>811392</v>
      </c>
      <c r="N13" s="89">
        <f>'MONTHLY STATS'!$C$144*2</f>
        <v>140964</v>
      </c>
      <c r="O13" s="90">
        <f t="shared" si="0"/>
        <v>5860604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STATS'!$C$24*2</f>
        <v>233310</v>
      </c>
      <c r="D14" s="89">
        <f>'MONTHLY STATS'!$C$35*2</f>
        <v>128624</v>
      </c>
      <c r="E14" s="89">
        <f>'MONTHLY STATS'!$C$46*2</f>
        <v>839574</v>
      </c>
      <c r="F14" s="89">
        <f>'MONTHLY STATS'!$C$57*2</f>
        <v>577528</v>
      </c>
      <c r="G14" s="89">
        <f>'MONTHLY STATS'!$C$68*2</f>
        <v>217956</v>
      </c>
      <c r="H14" s="89">
        <f>'MONTHLY STATS'!$C$79*2</f>
        <v>295218</v>
      </c>
      <c r="I14" s="89">
        <f>'MONTHLY STATS'!$C$90*2</f>
        <v>582042</v>
      </c>
      <c r="J14" s="89">
        <f>'MONTHLY STATS'!$C$101*2</f>
        <v>735812</v>
      </c>
      <c r="K14" s="89">
        <f>'MONTHLY STATS'!$C$112*2</f>
        <v>869686</v>
      </c>
      <c r="L14" s="89">
        <f>'MONTHLY STATS'!$C$123*2</f>
        <v>112080</v>
      </c>
      <c r="M14" s="89">
        <f>'MONTHLY STATS'!$C$134*2</f>
        <v>820948</v>
      </c>
      <c r="N14" s="89">
        <f>'MONTHLY STATS'!$C$145*2</f>
        <v>146112</v>
      </c>
      <c r="O14" s="90">
        <f t="shared" si="0"/>
        <v>6103726</v>
      </c>
      <c r="P14" s="83"/>
    </row>
    <row r="15" spans="1:16" ht="15.75" x14ac:dyDescent="0.25">
      <c r="A15" s="88">
        <f>DATE(2019,12,1)</f>
        <v>43800</v>
      </c>
      <c r="B15" s="89">
        <f>'MONTHLY STATS'!$C$14*2</f>
        <v>564690</v>
      </c>
      <c r="C15" s="89">
        <f>'MONTHLY STATS'!$C$25*2</f>
        <v>230978</v>
      </c>
      <c r="D15" s="89">
        <f>'MONTHLY STATS'!$C$36*2</f>
        <v>136940</v>
      </c>
      <c r="E15" s="89">
        <f>'MONTHLY STATS'!$C$47*2</f>
        <v>796040</v>
      </c>
      <c r="F15" s="89">
        <f>'MONTHLY STATS'!$C$58*2</f>
        <v>604618</v>
      </c>
      <c r="G15" s="89">
        <f>'MONTHLY STATS'!$C$69*2</f>
        <v>231648</v>
      </c>
      <c r="H15" s="89">
        <f>'MONTHLY STATS'!$C$80*2</f>
        <v>293630</v>
      </c>
      <c r="I15" s="89">
        <f>'MONTHLY STATS'!$C$91*2</f>
        <v>629628</v>
      </c>
      <c r="J15" s="89">
        <f>'MONTHLY STATS'!$C$102*2</f>
        <v>751558</v>
      </c>
      <c r="K15" s="89">
        <f>'MONTHLY STATS'!$C$113*2</f>
        <v>849840</v>
      </c>
      <c r="L15" s="89">
        <f>'MONTHLY STATS'!$C$124*2</f>
        <v>115594</v>
      </c>
      <c r="M15" s="89">
        <f>'MONTHLY STATS'!$C$135*2</f>
        <v>873976</v>
      </c>
      <c r="N15" s="89">
        <f>'MONTHLY STATS'!$C$146*2</f>
        <v>149990</v>
      </c>
      <c r="O15" s="90">
        <f t="shared" si="0"/>
        <v>6229130</v>
      </c>
      <c r="P15" s="83"/>
    </row>
    <row r="16" spans="1:16" ht="15.75" x14ac:dyDescent="0.25">
      <c r="A16" s="88">
        <f>DATE(2020,1,1)</f>
        <v>43831</v>
      </c>
      <c r="B16" s="89">
        <f>'MONTHLY STATS'!$C$15*2</f>
        <v>489882</v>
      </c>
      <c r="C16" s="89">
        <f>'MONTHLY STATS'!$C$26*2</f>
        <v>208334</v>
      </c>
      <c r="D16" s="89">
        <f>'MONTHLY STATS'!$C$37*2</f>
        <v>128374</v>
      </c>
      <c r="E16" s="89">
        <f>'MONTHLY STATS'!$C$48*2</f>
        <v>785614</v>
      </c>
      <c r="F16" s="89">
        <f>'MONTHLY STATS'!$C$59*2</f>
        <v>536596</v>
      </c>
      <c r="G16" s="89">
        <f>'MONTHLY STATS'!$C$70*2</f>
        <v>216130</v>
      </c>
      <c r="H16" s="89">
        <f>'MONTHLY STATS'!$C$81*2</f>
        <v>276072</v>
      </c>
      <c r="I16" s="89">
        <f>'MONTHLY STATS'!$C$92*2</f>
        <v>570534</v>
      </c>
      <c r="J16" s="89">
        <f>'MONTHLY STATS'!$C$103*2</f>
        <v>661226</v>
      </c>
      <c r="K16" s="89">
        <f>'MONTHLY STATS'!$C$114*2</f>
        <v>825448</v>
      </c>
      <c r="L16" s="89">
        <f>'MONTHLY STATS'!$C$125*2</f>
        <v>97868</v>
      </c>
      <c r="M16" s="89">
        <f>'MONTHLY STATS'!$C$136*2</f>
        <v>827410</v>
      </c>
      <c r="N16" s="89">
        <f>'MONTHLY STATS'!$C$147*2</f>
        <v>146556</v>
      </c>
      <c r="O16" s="90">
        <f>SUM(B16:N16)</f>
        <v>5770044</v>
      </c>
      <c r="P16" s="83"/>
    </row>
    <row r="17" spans="1:16" ht="15.75" x14ac:dyDescent="0.25">
      <c r="A17" s="88">
        <f>DATE(2020,2,1)</f>
        <v>43862</v>
      </c>
      <c r="B17" s="89">
        <f>'MONTHLY STATS'!$C$16*2</f>
        <v>521882</v>
      </c>
      <c r="C17" s="89">
        <f>'MONTHLY STATS'!$C$27*2</f>
        <v>246994</v>
      </c>
      <c r="D17" s="89">
        <f>'MONTHLY STATS'!$C$38*2</f>
        <v>138854</v>
      </c>
      <c r="E17" s="89">
        <f>'MONTHLY STATS'!$C$49*2</f>
        <v>867312</v>
      </c>
      <c r="F17" s="89">
        <f>'MONTHLY STATS'!$C$60*2</f>
        <v>581048</v>
      </c>
      <c r="G17" s="89">
        <f>'MONTHLY STATS'!$C$71*2</f>
        <v>245026</v>
      </c>
      <c r="H17" s="89">
        <f>'MONTHLY STATS'!$C$82*2</f>
        <v>304264</v>
      </c>
      <c r="I17" s="89">
        <f>'MONTHLY STATS'!$C$93*2</f>
        <v>604666</v>
      </c>
      <c r="J17" s="89">
        <f>'MONTHLY STATS'!$C$104*2</f>
        <v>749418</v>
      </c>
      <c r="K17" s="89">
        <f>'MONTHLY STATS'!$C$115*2</f>
        <v>871380</v>
      </c>
      <c r="L17" s="89">
        <f>'MONTHLY STATS'!$C$126*2</f>
        <v>115286</v>
      </c>
      <c r="M17" s="89">
        <f>'MONTHLY STATS'!$C$137*2</f>
        <v>861158</v>
      </c>
      <c r="N17" s="89">
        <f>'MONTHLY STATS'!$C$148*2</f>
        <v>158994</v>
      </c>
      <c r="O17" s="90">
        <f>SUM(B17:N17)</f>
        <v>6266282</v>
      </c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4232648</v>
      </c>
      <c r="C23" s="90">
        <f t="shared" si="1"/>
        <v>1900242</v>
      </c>
      <c r="D23" s="90">
        <f t="shared" si="1"/>
        <v>1061710</v>
      </c>
      <c r="E23" s="90">
        <f t="shared" si="1"/>
        <v>6639902</v>
      </c>
      <c r="F23" s="90">
        <f t="shared" si="1"/>
        <v>4547212</v>
      </c>
      <c r="G23" s="90">
        <f>SUM(G10:G21)</f>
        <v>1795840</v>
      </c>
      <c r="H23" s="90">
        <f t="shared" si="1"/>
        <v>2359258</v>
      </c>
      <c r="I23" s="90">
        <f>SUM(I10:I21)</f>
        <v>4852356</v>
      </c>
      <c r="J23" s="90">
        <f t="shared" si="1"/>
        <v>5792116</v>
      </c>
      <c r="K23" s="90">
        <f>SUM(K10:K21)</f>
        <v>6829338</v>
      </c>
      <c r="L23" s="90">
        <f t="shared" si="1"/>
        <v>919866</v>
      </c>
      <c r="M23" s="90">
        <f t="shared" si="1"/>
        <v>6868406</v>
      </c>
      <c r="N23" s="90">
        <f t="shared" si="1"/>
        <v>1205390</v>
      </c>
      <c r="O23" s="90">
        <f t="shared" si="1"/>
        <v>49004284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STATS'!$K$20*0.21</f>
        <v>1462853.8743</v>
      </c>
      <c r="D31" s="89">
        <f>'MONTHLY STATS'!$K$31*0.21</f>
        <v>684695.08169999998</v>
      </c>
      <c r="E31" s="89">
        <f>'MONTHLY STATS'!$K$42*0.21</f>
        <v>4293878.6624999996</v>
      </c>
      <c r="F31" s="89">
        <f>'MONTHLY STATS'!$K$53*0.21</f>
        <v>2956269.6954000001</v>
      </c>
      <c r="G31" s="89">
        <f>'MONTHLY STATS'!$K$64*0.21</f>
        <v>935961.4299000001</v>
      </c>
      <c r="H31" s="89">
        <f>'MONTHLY STATS'!$K$75*0.21</f>
        <v>1101109.2120000001</v>
      </c>
      <c r="I31" s="89">
        <f>'MONTHLY STATS'!$K$86*0.21</f>
        <v>2638122.8495999998</v>
      </c>
      <c r="J31" s="89">
        <f>'MONTHLY STATS'!$K$97*0.21</f>
        <v>3294768.9683999997</v>
      </c>
      <c r="K31" s="89">
        <f>'MONTHLY STATS'!$K$108*0.21</f>
        <v>3827720.7779999999</v>
      </c>
      <c r="L31" s="89">
        <f>'MONTHLY STATS'!$K$119*0.21</f>
        <v>577273.81739999994</v>
      </c>
      <c r="M31" s="89">
        <f>'MONTHLY STATS'!$K$130*0.21</f>
        <v>4787594.2569000004</v>
      </c>
      <c r="N31" s="89">
        <f>'MONTHLY STATS'!$K$141*0.21</f>
        <v>713298.1547999999</v>
      </c>
      <c r="O31" s="90">
        <f t="shared" ref="O31:O36" si="2">SUM(B31:N31)</f>
        <v>30338052.351600002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STATS'!$K$21*0.21</f>
        <v>1462946.0684999998</v>
      </c>
      <c r="D32" s="89">
        <f>'MONTHLY STATS'!$K$32*0.21</f>
        <v>676743.23639999994</v>
      </c>
      <c r="E32" s="89">
        <f>'MONTHLY STATS'!$K$43*0.21</f>
        <v>4480740.0917999996</v>
      </c>
      <c r="F32" s="89">
        <f>'MONTHLY STATS'!$K$54*0.21</f>
        <v>3271877.1245999997</v>
      </c>
      <c r="G32" s="89">
        <f>'MONTHLY STATS'!$K$65*0.21</f>
        <v>1095307.4894999999</v>
      </c>
      <c r="H32" s="89">
        <f>'MONTHLY STATS'!$K$76*0.21</f>
        <v>1189395.375</v>
      </c>
      <c r="I32" s="89">
        <f>'MONTHLY STATS'!$K$87*0.21</f>
        <v>2712053.7380999997</v>
      </c>
      <c r="J32" s="89">
        <f>'MONTHLY STATS'!$K$98*0.21</f>
        <v>3485481.7787999995</v>
      </c>
      <c r="K32" s="89">
        <f>'MONTHLY STATS'!$K$109*0.21</f>
        <v>4099393.2629999998</v>
      </c>
      <c r="L32" s="89">
        <f>'MONTHLY STATS'!$K$120*0.21</f>
        <v>621704.08019999997</v>
      </c>
      <c r="M32" s="89">
        <f>'MONTHLY STATS'!$K$131*0.21</f>
        <v>4872173.9534999998</v>
      </c>
      <c r="N32" s="89">
        <f>'MONTHLY STATS'!$K$142*0.21</f>
        <v>733278.10290000006</v>
      </c>
      <c r="O32" s="90">
        <f t="shared" si="2"/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STATS'!$K$22*0.21</f>
        <v>1347099.7259999998</v>
      </c>
      <c r="D33" s="89">
        <f>'MONTHLY STATS'!$K$33*0.21</f>
        <v>653521.67790000001</v>
      </c>
      <c r="E33" s="89">
        <f>'MONTHLY STATS'!$K$44*0.21</f>
        <v>3975747.0710999998</v>
      </c>
      <c r="F33" s="89">
        <f>'MONTHLY STATS'!$K$55*0.21</f>
        <v>3075068.3207999999</v>
      </c>
      <c r="G33" s="89">
        <f>'MONTHLY STATS'!$K$66*0.21</f>
        <v>1064622.0311999999</v>
      </c>
      <c r="H33" s="89">
        <f>'MONTHLY STATS'!$K$77*0.21</f>
        <v>1067073.9975000001</v>
      </c>
      <c r="I33" s="89">
        <f>'MONTHLY STATS'!$K$88*0.21</f>
        <v>2580957.3509999998</v>
      </c>
      <c r="J33" s="89">
        <f>'MONTHLY STATS'!$K$99*0.21</f>
        <v>3247922.0403</v>
      </c>
      <c r="K33" s="89">
        <f>'MONTHLY STATS'!$K$110*0.21</f>
        <v>3876567.9813000001</v>
      </c>
      <c r="L33" s="89">
        <f>'MONTHLY STATS'!$K$121*0.21</f>
        <v>566536.21919999993</v>
      </c>
      <c r="M33" s="89">
        <f>'MONTHLY STATS'!$K$132*0.21</f>
        <v>4521489.4556999998</v>
      </c>
      <c r="N33" s="89">
        <f>'MONTHLY STATS'!$K$143*0.21</f>
        <v>708002.13749999995</v>
      </c>
      <c r="O33" s="90">
        <f t="shared" si="2"/>
        <v>29367124.989299998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STATS'!$K$23*0.21</f>
        <v>1270314.0954</v>
      </c>
      <c r="D34" s="89">
        <f>'MONTHLY STATS'!$K$34*0.21</f>
        <v>656377.92989999999</v>
      </c>
      <c r="E34" s="89">
        <f>'MONTHLY STATS'!$K$45*0.21</f>
        <v>3996958.6754999999</v>
      </c>
      <c r="F34" s="89">
        <f>'MONTHLY STATS'!$K$56*0.21</f>
        <v>3081834.2771999999</v>
      </c>
      <c r="G34" s="89">
        <f>'MONTHLY STATS'!$K$67*0.21</f>
        <v>1071722.4966</v>
      </c>
      <c r="H34" s="89">
        <f>'MONTHLY STATS'!$K$78*0.21</f>
        <v>1134567.2541</v>
      </c>
      <c r="I34" s="89">
        <f>'MONTHLY STATS'!$K$89*0.21</f>
        <v>2500454.2626</v>
      </c>
      <c r="J34" s="89">
        <f>'MONTHLY STATS'!$K$100*0.21</f>
        <v>3431365.9085999997</v>
      </c>
      <c r="K34" s="89">
        <f>'MONTHLY STATS'!$K$111*0.21</f>
        <v>3910565.9228999997</v>
      </c>
      <c r="L34" s="89">
        <f>'MONTHLY STATS'!$K$122*0.21</f>
        <v>591159.4878</v>
      </c>
      <c r="M34" s="89">
        <f>'MONTHLY STATS'!$K$133*0.21</f>
        <v>4577616.1599000003</v>
      </c>
      <c r="N34" s="89">
        <f>'MONTHLY STATS'!$K$144*0.21</f>
        <v>687542.05590000004</v>
      </c>
      <c r="O34" s="90">
        <f t="shared" si="2"/>
        <v>29719135.372499995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2933291.6571</v>
      </c>
      <c r="C35" s="89">
        <f>'MONTHLY STATS'!$K$24*0.21</f>
        <v>1336391.2106999999</v>
      </c>
      <c r="D35" s="89">
        <f>'MONTHLY STATS'!$K$35*0.21</f>
        <v>673998.13950000005</v>
      </c>
      <c r="E35" s="89">
        <f>'MONTHLY STATS'!$K$46*0.21</f>
        <v>4250414.3072999995</v>
      </c>
      <c r="F35" s="89">
        <f>'MONTHLY STATS'!$K$57*0.21</f>
        <v>3054671.8629000001</v>
      </c>
      <c r="G35" s="89">
        <f>'MONTHLY STATS'!$K$68*0.21</f>
        <v>1072822.3443</v>
      </c>
      <c r="H35" s="89">
        <f>'MONTHLY STATS'!$K$79*0.21</f>
        <v>1139863.5906</v>
      </c>
      <c r="I35" s="89">
        <f>'MONTHLY STATS'!$K$90*0.21</f>
        <v>2542840.0094999997</v>
      </c>
      <c r="J35" s="89">
        <f>'MONTHLY STATS'!$K$101*0.21</f>
        <v>3481744.8330000001</v>
      </c>
      <c r="K35" s="89">
        <f>'MONTHLY STATS'!$K$112*0.21</f>
        <v>4147627.5014999993</v>
      </c>
      <c r="L35" s="89">
        <f>'MONTHLY STATS'!$K$123*0.21</f>
        <v>613487.69160000002</v>
      </c>
      <c r="M35" s="89">
        <f>'MONTHLY STATS'!$K$134*0.21</f>
        <v>4373399.0936999992</v>
      </c>
      <c r="N35" s="89">
        <f>'MONTHLY STATS'!$K$145*0.21</f>
        <v>709275.04200000002</v>
      </c>
      <c r="O35" s="90">
        <f t="shared" si="2"/>
        <v>30329827.283699997</v>
      </c>
      <c r="P35" s="83"/>
    </row>
    <row r="36" spans="1:16" ht="15.75" x14ac:dyDescent="0.25">
      <c r="A36" s="88">
        <f>DATE(2019,12,1)</f>
        <v>43800</v>
      </c>
      <c r="B36" s="89">
        <f>'MONTHLY STATS'!$K$14*0.21</f>
        <v>3075784.9268999998</v>
      </c>
      <c r="C36" s="89">
        <f>'MONTHLY STATS'!$K$25*0.21</f>
        <v>1317813.4179</v>
      </c>
      <c r="D36" s="89">
        <f>'MONTHLY STATS'!$K$36*0.21</f>
        <v>718635.15989999997</v>
      </c>
      <c r="E36" s="89">
        <f>'MONTHLY STATS'!$K$47*0.21</f>
        <v>4116495.5244</v>
      </c>
      <c r="F36" s="89">
        <f>'MONTHLY STATS'!$K$58*0.21</f>
        <v>3126436.6202999996</v>
      </c>
      <c r="G36" s="89">
        <f>'MONTHLY STATS'!$K$69*0.21</f>
        <v>1127257.8050999998</v>
      </c>
      <c r="H36" s="89">
        <f>'MONTHLY STATS'!$K$80*0.21</f>
        <v>1135280.3343</v>
      </c>
      <c r="I36" s="89">
        <f>'MONTHLY STATS'!$K$91*0.21</f>
        <v>2673491.9441999998</v>
      </c>
      <c r="J36" s="89">
        <f>'MONTHLY STATS'!$K$102*0.21</f>
        <v>3293908.8314999999</v>
      </c>
      <c r="K36" s="89">
        <f>'MONTHLY STATS'!$K$113*0.21</f>
        <v>4187187.7844999996</v>
      </c>
      <c r="L36" s="89">
        <f>'MONTHLY STATS'!$K$124*0.21</f>
        <v>585799.54020000005</v>
      </c>
      <c r="M36" s="89">
        <f>'MONTHLY STATS'!$K$135*0.21</f>
        <v>4622112.4277999997</v>
      </c>
      <c r="N36" s="89">
        <f>'MONTHLY STATS'!$K$146*0.21</f>
        <v>742266.73290000006</v>
      </c>
      <c r="O36" s="90">
        <f t="shared" si="2"/>
        <v>30722471.049899999</v>
      </c>
      <c r="P36" s="83"/>
    </row>
    <row r="37" spans="1:16" ht="15.75" x14ac:dyDescent="0.25">
      <c r="A37" s="88">
        <f>DATE(2020,1,1)</f>
        <v>43831</v>
      </c>
      <c r="B37" s="89">
        <f>'MONTHLY STATS'!$K$15*0.21</f>
        <v>2631224.3012999999</v>
      </c>
      <c r="C37" s="89">
        <f>'MONTHLY STATS'!$K$26*0.21</f>
        <v>1183257.3689999999</v>
      </c>
      <c r="D37" s="89">
        <f>'MONTHLY STATS'!$K$37*0.21</f>
        <v>678337.48080000002</v>
      </c>
      <c r="E37" s="89">
        <f>'MONTHLY STATS'!$K$48*0.21</f>
        <v>4016722.5461999997</v>
      </c>
      <c r="F37" s="89">
        <f>'MONTHLY STATS'!$K$59*0.21</f>
        <v>3030307.1672999999</v>
      </c>
      <c r="G37" s="89">
        <f>'MONTHLY STATS'!$K$70*0.21</f>
        <v>1065925.1631</v>
      </c>
      <c r="H37" s="89">
        <f>'MONTHLY STATS'!$K$81*0.21</f>
        <v>1089909.3513</v>
      </c>
      <c r="I37" s="89">
        <f>'MONTHLY STATS'!$K$92*0.21</f>
        <v>2631734.0490000001</v>
      </c>
      <c r="J37" s="89">
        <f>'MONTHLY STATS'!$K$103*0.21</f>
        <v>3163625.7219000002</v>
      </c>
      <c r="K37" s="89">
        <f>'MONTHLY STATS'!$K$114*0.21</f>
        <v>3977640.8783999998</v>
      </c>
      <c r="L37" s="89">
        <f>'MONTHLY STATS'!$K$125*0.21</f>
        <v>537004.50299999991</v>
      </c>
      <c r="M37" s="89">
        <f>'MONTHLY STATS'!$K$136*0.21</f>
        <v>4445968.9742999999</v>
      </c>
      <c r="N37" s="89">
        <f>'MONTHLY STATS'!$K$147*0.21</f>
        <v>716815.55819999997</v>
      </c>
      <c r="O37" s="90">
        <f>SUM(B37:N37)</f>
        <v>29168473.063800003</v>
      </c>
      <c r="P37" s="83"/>
    </row>
    <row r="38" spans="1:16" ht="15.75" x14ac:dyDescent="0.25">
      <c r="A38" s="88">
        <f>DATE(2020,2,1)</f>
        <v>43862</v>
      </c>
      <c r="B38" s="89">
        <f>'MONTHLY STATS'!$K$16*0.21</f>
        <v>2901212.4224999999</v>
      </c>
      <c r="C38" s="89">
        <f>'MONTHLY STATS'!$K$27*0.21</f>
        <v>1409306.7072000001</v>
      </c>
      <c r="D38" s="89">
        <f>'MONTHLY STATS'!$K$38*0.21</f>
        <v>738055.95569999993</v>
      </c>
      <c r="E38" s="89">
        <f>'MONTHLY STATS'!$K$49*0.21</f>
        <v>4329328.5188999996</v>
      </c>
      <c r="F38" s="89">
        <f>'MONTHLY STATS'!$K$60*0.21</f>
        <v>3222081.9981</v>
      </c>
      <c r="G38" s="89">
        <f>'MONTHLY STATS'!$K$71*0.21</f>
        <v>1248158.6879999998</v>
      </c>
      <c r="H38" s="89">
        <f>'MONTHLY STATS'!$K$82*0.21</f>
        <v>1220272.6934999998</v>
      </c>
      <c r="I38" s="89">
        <f>'MONTHLY STATS'!$K$93*0.21</f>
        <v>2965960.0109999999</v>
      </c>
      <c r="J38" s="89">
        <f>'MONTHLY STATS'!$K$104*0.21</f>
        <v>3584589.4643999999</v>
      </c>
      <c r="K38" s="89">
        <f>'MONTHLY STATS'!$K$115*0.21</f>
        <v>3952444.6458000001</v>
      </c>
      <c r="L38" s="89">
        <f>'MONTHLY STATS'!$K$126*0.21</f>
        <v>629510.47739999997</v>
      </c>
      <c r="M38" s="89">
        <f>'MONTHLY STATS'!$K$137*0.21</f>
        <v>4470248.3616000004</v>
      </c>
      <c r="N38" s="89">
        <f>'MONTHLY STATS'!$K$148*0.21</f>
        <v>813178.74120000005</v>
      </c>
      <c r="O38" s="90">
        <f>SUM(B38:N38)</f>
        <v>31484348.6853</v>
      </c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23142623.200199999</v>
      </c>
      <c r="C44" s="90">
        <f t="shared" si="3"/>
        <v>10789982.468999999</v>
      </c>
      <c r="D44" s="90">
        <f t="shared" si="3"/>
        <v>5480364.6617999999</v>
      </c>
      <c r="E44" s="90">
        <f t="shared" si="3"/>
        <v>33460285.397699997</v>
      </c>
      <c r="F44" s="90">
        <f t="shared" si="3"/>
        <v>24818547.066600002</v>
      </c>
      <c r="G44" s="90">
        <f t="shared" si="3"/>
        <v>8681777.4476999994</v>
      </c>
      <c r="H44" s="90">
        <f t="shared" si="3"/>
        <v>9077471.8082999997</v>
      </c>
      <c r="I44" s="90">
        <f>SUM(I31:I42)</f>
        <v>21245614.215</v>
      </c>
      <c r="J44" s="90">
        <f t="shared" si="3"/>
        <v>26983407.546900004</v>
      </c>
      <c r="K44" s="90">
        <f>SUM(K31:K42)</f>
        <v>31979148.755400002</v>
      </c>
      <c r="L44" s="90">
        <f t="shared" si="3"/>
        <v>4722475.8168000001</v>
      </c>
      <c r="M44" s="90">
        <f t="shared" si="3"/>
        <v>36670602.683399998</v>
      </c>
      <c r="N44" s="90">
        <f t="shared" si="3"/>
        <v>5823656.5253999997</v>
      </c>
      <c r="O44" s="90">
        <f t="shared" si="3"/>
        <v>242875957.59419999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4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6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57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116" t="s">
        <v>72</v>
      </c>
      <c r="B3" s="117"/>
      <c r="C3" s="200"/>
      <c r="D3" s="200"/>
      <c r="E3" s="200"/>
      <c r="F3" s="117"/>
      <c r="G3" s="210"/>
    </row>
    <row r="4" spans="1:8" x14ac:dyDescent="0.2">
      <c r="A4" s="281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 t="shared" ref="F9:F16" si="0">(+D9-E9)/E9</f>
        <v>0.20037600016207374</v>
      </c>
      <c r="G9" s="215">
        <f t="shared" ref="G9:G16" si="1"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 t="shared" si="0"/>
        <v>9.8894705358480092E-2</v>
      </c>
      <c r="G10" s="215">
        <f t="shared" si="1"/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 t="shared" si="0"/>
        <v>-0.17161329040083143</v>
      </c>
      <c r="G11" s="215">
        <f t="shared" si="1"/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 t="shared" si="0"/>
        <v>-0.16096866939183205</v>
      </c>
      <c r="G12" s="215">
        <f t="shared" si="1"/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1695412.5</v>
      </c>
      <c r="E13" s="204">
        <v>2373996</v>
      </c>
      <c r="F13" s="132">
        <f t="shared" si="0"/>
        <v>-0.28584020360607176</v>
      </c>
      <c r="G13" s="215">
        <f t="shared" si="1"/>
        <v>0.17390521886698723</v>
      </c>
      <c r="H13" s="123"/>
    </row>
    <row r="14" spans="1:8" ht="15.75" x14ac:dyDescent="0.25">
      <c r="A14" s="130"/>
      <c r="B14" s="131">
        <f>DATE(2019,12,1)</f>
        <v>43800</v>
      </c>
      <c r="C14" s="204">
        <v>10058823</v>
      </c>
      <c r="D14" s="204">
        <v>1854155.5</v>
      </c>
      <c r="E14" s="204">
        <v>2548450</v>
      </c>
      <c r="F14" s="132">
        <f t="shared" si="0"/>
        <v>-0.27243795248091979</v>
      </c>
      <c r="G14" s="215">
        <f t="shared" si="1"/>
        <v>0.18433125823965688</v>
      </c>
      <c r="H14" s="123"/>
    </row>
    <row r="15" spans="1:8" ht="15.75" x14ac:dyDescent="0.25">
      <c r="A15" s="130"/>
      <c r="B15" s="131">
        <f>DATE(2020,1,1)</f>
        <v>43831</v>
      </c>
      <c r="C15" s="204">
        <v>9880479.5</v>
      </c>
      <c r="D15" s="204">
        <v>1814739</v>
      </c>
      <c r="E15" s="204">
        <v>2049686.5</v>
      </c>
      <c r="F15" s="132">
        <f t="shared" si="0"/>
        <v>-0.11462606598618862</v>
      </c>
      <c r="G15" s="215">
        <f t="shared" si="1"/>
        <v>0.18366912253600648</v>
      </c>
      <c r="H15" s="123"/>
    </row>
    <row r="16" spans="1:8" ht="15.75" x14ac:dyDescent="0.25">
      <c r="A16" s="130"/>
      <c r="B16" s="131">
        <f>DATE(2020,2,1)</f>
        <v>43862</v>
      </c>
      <c r="C16" s="204">
        <v>10500879.25</v>
      </c>
      <c r="D16" s="204">
        <v>1907085.75</v>
      </c>
      <c r="E16" s="204">
        <v>1917312.5</v>
      </c>
      <c r="F16" s="132">
        <f t="shared" si="0"/>
        <v>-5.3338983603351047E-3</v>
      </c>
      <c r="G16" s="215">
        <f t="shared" si="1"/>
        <v>0.18161200644222245</v>
      </c>
      <c r="H16" s="123"/>
    </row>
    <row r="17" spans="1:8" ht="15.75" thickBot="1" x14ac:dyDescent="0.25">
      <c r="A17" s="133"/>
      <c r="B17" s="134"/>
      <c r="C17" s="204"/>
      <c r="D17" s="204"/>
      <c r="E17" s="204"/>
      <c r="F17" s="132"/>
      <c r="G17" s="215"/>
      <c r="H17" s="123"/>
    </row>
    <row r="18" spans="1:8" ht="17.25" thickTop="1" thickBot="1" x14ac:dyDescent="0.3">
      <c r="A18" s="135" t="s">
        <v>14</v>
      </c>
      <c r="B18" s="136"/>
      <c r="C18" s="201">
        <f>SUM(C9:C17)</f>
        <v>81148418.75</v>
      </c>
      <c r="D18" s="201">
        <f>SUM(D9:D17)</f>
        <v>14856976.25</v>
      </c>
      <c r="E18" s="201">
        <f>SUM(E9:E17)</f>
        <v>16649781.5</v>
      </c>
      <c r="F18" s="137">
        <f>(+D18-E18)/E18</f>
        <v>-0.10767740405482198</v>
      </c>
      <c r="G18" s="212">
        <f>D18/C18</f>
        <v>0.1830839895447747</v>
      </c>
      <c r="H18" s="123"/>
    </row>
    <row r="19" spans="1:8" ht="15.75" customHeight="1" thickTop="1" x14ac:dyDescent="0.25">
      <c r="A19" s="138"/>
      <c r="B19" s="139"/>
      <c r="C19" s="205"/>
      <c r="D19" s="205"/>
      <c r="E19" s="205"/>
      <c r="F19" s="140"/>
      <c r="G19" s="216"/>
      <c r="H19" s="123"/>
    </row>
    <row r="20" spans="1:8" ht="15.75" x14ac:dyDescent="0.25">
      <c r="A20" s="19" t="s">
        <v>15</v>
      </c>
      <c r="B20" s="131">
        <f>DATE(2019,7,1)</f>
        <v>43647</v>
      </c>
      <c r="C20" s="204">
        <v>2591163</v>
      </c>
      <c r="D20" s="204">
        <v>728719</v>
      </c>
      <c r="E20" s="204">
        <v>544502.5</v>
      </c>
      <c r="F20" s="132">
        <f t="shared" ref="F20:F27" si="2">(+D20-E20)/E20</f>
        <v>0.33832076069439532</v>
      </c>
      <c r="G20" s="215">
        <f t="shared" ref="G20:G27" si="3">D20/C20</f>
        <v>0.28123240413667533</v>
      </c>
      <c r="H20" s="123"/>
    </row>
    <row r="21" spans="1:8" ht="15.75" x14ac:dyDescent="0.25">
      <c r="A21" s="19"/>
      <c r="B21" s="131">
        <f>DATE(2019,8,1)</f>
        <v>43678</v>
      </c>
      <c r="C21" s="204">
        <v>2727354</v>
      </c>
      <c r="D21" s="204">
        <v>718107.5</v>
      </c>
      <c r="E21" s="204">
        <v>656165</v>
      </c>
      <c r="F21" s="132">
        <f t="shared" si="2"/>
        <v>9.440079857962555E-2</v>
      </c>
      <c r="G21" s="215">
        <f t="shared" si="3"/>
        <v>0.26329823704586935</v>
      </c>
      <c r="H21" s="123"/>
    </row>
    <row r="22" spans="1:8" ht="15.75" x14ac:dyDescent="0.25">
      <c r="A22" s="19"/>
      <c r="B22" s="131">
        <f>DATE(2019,9,1)</f>
        <v>43709</v>
      </c>
      <c r="C22" s="204">
        <v>2626262</v>
      </c>
      <c r="D22" s="204">
        <v>573243</v>
      </c>
      <c r="E22" s="204">
        <v>251895.5</v>
      </c>
      <c r="F22" s="132">
        <f t="shared" si="2"/>
        <v>1.2757175098403901</v>
      </c>
      <c r="G22" s="215">
        <f t="shared" si="3"/>
        <v>0.21827334820364458</v>
      </c>
      <c r="H22" s="123"/>
    </row>
    <row r="23" spans="1:8" ht="15.75" x14ac:dyDescent="0.25">
      <c r="A23" s="19"/>
      <c r="B23" s="131">
        <f>DATE(2019,10,1)</f>
        <v>43739</v>
      </c>
      <c r="C23" s="204">
        <v>2539016.5</v>
      </c>
      <c r="D23" s="204">
        <v>591260.5</v>
      </c>
      <c r="E23" s="204">
        <v>763257.5</v>
      </c>
      <c r="F23" s="132">
        <f t="shared" si="2"/>
        <v>-0.22534596777627472</v>
      </c>
      <c r="G23" s="215">
        <f t="shared" si="3"/>
        <v>0.23286989273208741</v>
      </c>
      <c r="H23" s="123"/>
    </row>
    <row r="24" spans="1:8" ht="15.75" x14ac:dyDescent="0.25">
      <c r="A24" s="19"/>
      <c r="B24" s="131">
        <f>DATE(2019,11,1)</f>
        <v>43770</v>
      </c>
      <c r="C24" s="204">
        <v>2588437</v>
      </c>
      <c r="D24" s="204">
        <v>527573</v>
      </c>
      <c r="E24" s="204">
        <v>497141.5</v>
      </c>
      <c r="F24" s="132">
        <f t="shared" si="2"/>
        <v>6.1212954460651545E-2</v>
      </c>
      <c r="G24" s="215">
        <f t="shared" si="3"/>
        <v>0.20381913873121116</v>
      </c>
      <c r="H24" s="123"/>
    </row>
    <row r="25" spans="1:8" ht="15.75" x14ac:dyDescent="0.25">
      <c r="A25" s="19"/>
      <c r="B25" s="131">
        <f>DATE(2019,12,1)</f>
        <v>43800</v>
      </c>
      <c r="C25" s="204">
        <v>2806085</v>
      </c>
      <c r="D25" s="204">
        <v>731643</v>
      </c>
      <c r="E25" s="204">
        <v>725952.5</v>
      </c>
      <c r="F25" s="132">
        <f t="shared" si="2"/>
        <v>7.8386671304252007E-3</v>
      </c>
      <c r="G25" s="215">
        <f t="shared" si="3"/>
        <v>0.2607344396196124</v>
      </c>
      <c r="H25" s="123"/>
    </row>
    <row r="26" spans="1:8" ht="15.75" x14ac:dyDescent="0.25">
      <c r="A26" s="19"/>
      <c r="B26" s="131">
        <f>DATE(2020,1,1)</f>
        <v>43831</v>
      </c>
      <c r="C26" s="204">
        <v>2708624</v>
      </c>
      <c r="D26" s="204">
        <v>617104</v>
      </c>
      <c r="E26" s="204">
        <v>538538</v>
      </c>
      <c r="F26" s="132">
        <f t="shared" si="2"/>
        <v>0.14588756967939123</v>
      </c>
      <c r="G26" s="215">
        <f t="shared" si="3"/>
        <v>0.2278293332703247</v>
      </c>
      <c r="H26" s="123"/>
    </row>
    <row r="27" spans="1:8" ht="15.75" x14ac:dyDescent="0.25">
      <c r="A27" s="19"/>
      <c r="B27" s="131">
        <f>DATE(2020,2,1)</f>
        <v>43862</v>
      </c>
      <c r="C27" s="204">
        <v>3033684</v>
      </c>
      <c r="D27" s="204">
        <v>597734</v>
      </c>
      <c r="E27" s="204">
        <v>807451</v>
      </c>
      <c r="F27" s="132">
        <f t="shared" si="2"/>
        <v>-0.25972721564528373</v>
      </c>
      <c r="G27" s="215">
        <f t="shared" si="3"/>
        <v>0.1970323870251483</v>
      </c>
      <c r="H27" s="123"/>
    </row>
    <row r="28" spans="1:8" ht="15.75" thickBot="1" x14ac:dyDescent="0.25">
      <c r="A28" s="133"/>
      <c r="B28" s="131"/>
      <c r="C28" s="204"/>
      <c r="D28" s="204"/>
      <c r="E28" s="204"/>
      <c r="F28" s="132"/>
      <c r="G28" s="215"/>
      <c r="H28" s="123"/>
    </row>
    <row r="29" spans="1:8" ht="17.25" thickTop="1" thickBot="1" x14ac:dyDescent="0.3">
      <c r="A29" s="135" t="s">
        <v>14</v>
      </c>
      <c r="B29" s="136"/>
      <c r="C29" s="201">
        <f>SUM(C20:C28)</f>
        <v>21620625.5</v>
      </c>
      <c r="D29" s="201">
        <f>SUM(D20:D28)</f>
        <v>5085384</v>
      </c>
      <c r="E29" s="201">
        <f>SUM(E20:E28)</f>
        <v>4784903.5</v>
      </c>
      <c r="F29" s="137">
        <f>(+D29-E29)/E29</f>
        <v>6.2797609188983639E-2</v>
      </c>
      <c r="G29" s="212">
        <f>D29/C29</f>
        <v>0.23520984626462357</v>
      </c>
      <c r="H29" s="123"/>
    </row>
    <row r="30" spans="1:8" ht="15.75" customHeight="1" thickTop="1" x14ac:dyDescent="0.25">
      <c r="A30" s="255"/>
      <c r="B30" s="139"/>
      <c r="C30" s="205"/>
      <c r="D30" s="205"/>
      <c r="E30" s="205"/>
      <c r="F30" s="140"/>
      <c r="G30" s="219"/>
      <c r="H30" s="123"/>
    </row>
    <row r="31" spans="1:8" ht="15.75" x14ac:dyDescent="0.25">
      <c r="A31" s="19" t="s">
        <v>56</v>
      </c>
      <c r="B31" s="131">
        <f>DATE(2019,7,1)</f>
        <v>43647</v>
      </c>
      <c r="C31" s="204">
        <v>1246714</v>
      </c>
      <c r="D31" s="204">
        <v>293379.5</v>
      </c>
      <c r="E31" s="204">
        <v>373264</v>
      </c>
      <c r="F31" s="132">
        <f t="shared" ref="F31:F38" si="4">(+D31-E31)/E31</f>
        <v>-0.2140160851300956</v>
      </c>
      <c r="G31" s="215">
        <f t="shared" ref="G31:G38" si="5">D31/C31</f>
        <v>0.23532221503889425</v>
      </c>
      <c r="H31" s="123"/>
    </row>
    <row r="32" spans="1:8" ht="15.75" x14ac:dyDescent="0.25">
      <c r="A32" s="19"/>
      <c r="B32" s="131">
        <f>DATE(2019,8,1)</f>
        <v>43678</v>
      </c>
      <c r="C32" s="204">
        <v>1240704</v>
      </c>
      <c r="D32" s="204">
        <v>306469</v>
      </c>
      <c r="E32" s="204">
        <v>339140.5</v>
      </c>
      <c r="F32" s="132">
        <f t="shared" si="4"/>
        <v>-9.6336179253141391E-2</v>
      </c>
      <c r="G32" s="215">
        <f t="shared" si="5"/>
        <v>0.24701218018157434</v>
      </c>
      <c r="H32" s="123"/>
    </row>
    <row r="33" spans="1:8" ht="15.75" x14ac:dyDescent="0.25">
      <c r="A33" s="19"/>
      <c r="B33" s="131">
        <f>DATE(2019,9,1)</f>
        <v>43709</v>
      </c>
      <c r="C33" s="204">
        <v>1288109</v>
      </c>
      <c r="D33" s="204">
        <v>301048.5</v>
      </c>
      <c r="E33" s="204">
        <v>349109</v>
      </c>
      <c r="F33" s="132">
        <f t="shared" si="4"/>
        <v>-0.13766617302905396</v>
      </c>
      <c r="G33" s="215">
        <f t="shared" si="5"/>
        <v>0.23371352890166905</v>
      </c>
      <c r="H33" s="123"/>
    </row>
    <row r="34" spans="1:8" ht="15.75" x14ac:dyDescent="0.25">
      <c r="A34" s="19"/>
      <c r="B34" s="131">
        <f>DATE(2019,10,1)</f>
        <v>43739</v>
      </c>
      <c r="C34" s="204">
        <v>1303670</v>
      </c>
      <c r="D34" s="204">
        <v>332474</v>
      </c>
      <c r="E34" s="204">
        <v>213321.5</v>
      </c>
      <c r="F34" s="132">
        <f t="shared" si="4"/>
        <v>0.55855832628216096</v>
      </c>
      <c r="G34" s="215">
        <f t="shared" si="5"/>
        <v>0.25502926354061994</v>
      </c>
      <c r="H34" s="123"/>
    </row>
    <row r="35" spans="1:8" ht="15.75" x14ac:dyDescent="0.25">
      <c r="A35" s="19"/>
      <c r="B35" s="131">
        <f>DATE(2019,11,1)</f>
        <v>43770</v>
      </c>
      <c r="C35" s="204">
        <v>1310179</v>
      </c>
      <c r="D35" s="204">
        <v>408121.5</v>
      </c>
      <c r="E35" s="204">
        <v>301353.5</v>
      </c>
      <c r="F35" s="132">
        <f t="shared" si="4"/>
        <v>0.35429487296480711</v>
      </c>
      <c r="G35" s="215">
        <f t="shared" si="5"/>
        <v>0.3115005659532018</v>
      </c>
      <c r="H35" s="123"/>
    </row>
    <row r="36" spans="1:8" ht="15.75" x14ac:dyDescent="0.25">
      <c r="A36" s="19"/>
      <c r="B36" s="131">
        <f>DATE(2019,12,1)</f>
        <v>43800</v>
      </c>
      <c r="C36" s="204">
        <v>1419526</v>
      </c>
      <c r="D36" s="204">
        <v>350849</v>
      </c>
      <c r="E36" s="204">
        <v>461887</v>
      </c>
      <c r="F36" s="132">
        <f t="shared" si="4"/>
        <v>-0.24040079066957937</v>
      </c>
      <c r="G36" s="215">
        <f t="shared" si="5"/>
        <v>0.24715926302160016</v>
      </c>
      <c r="H36" s="123"/>
    </row>
    <row r="37" spans="1:8" ht="15.75" x14ac:dyDescent="0.25">
      <c r="A37" s="19"/>
      <c r="B37" s="131">
        <f>DATE(2020,1,1)</f>
        <v>43831</v>
      </c>
      <c r="C37" s="204">
        <v>1523821</v>
      </c>
      <c r="D37" s="204">
        <v>350509</v>
      </c>
      <c r="E37" s="204">
        <v>327327.5</v>
      </c>
      <c r="F37" s="132">
        <f t="shared" si="4"/>
        <v>7.0820508512117075E-2</v>
      </c>
      <c r="G37" s="215">
        <f t="shared" si="5"/>
        <v>0.23001979891338944</v>
      </c>
      <c r="H37" s="123"/>
    </row>
    <row r="38" spans="1:8" ht="15.75" x14ac:dyDescent="0.25">
      <c r="A38" s="19"/>
      <c r="B38" s="131">
        <f>DATE(2020,2,1)</f>
        <v>43862</v>
      </c>
      <c r="C38" s="204">
        <v>1686134</v>
      </c>
      <c r="D38" s="204">
        <v>404769.5</v>
      </c>
      <c r="E38" s="204">
        <v>275261</v>
      </c>
      <c r="F38" s="132">
        <f t="shared" si="4"/>
        <v>0.47049345893533773</v>
      </c>
      <c r="G38" s="215">
        <f t="shared" si="5"/>
        <v>0.24005772969408126</v>
      </c>
      <c r="H38" s="123"/>
    </row>
    <row r="39" spans="1:8" ht="15.75" thickBot="1" x14ac:dyDescent="0.25">
      <c r="A39" s="133"/>
      <c r="B39" s="131"/>
      <c r="C39" s="204"/>
      <c r="D39" s="204"/>
      <c r="E39" s="204"/>
      <c r="F39" s="132"/>
      <c r="G39" s="215"/>
      <c r="H39" s="123"/>
    </row>
    <row r="40" spans="1:8" ht="17.25" thickTop="1" thickBot="1" x14ac:dyDescent="0.3">
      <c r="A40" s="141" t="s">
        <v>14</v>
      </c>
      <c r="B40" s="142"/>
      <c r="C40" s="206">
        <f>SUM(C31:C39)</f>
        <v>11018857</v>
      </c>
      <c r="D40" s="206">
        <f>SUM(D31:D39)</f>
        <v>2747620</v>
      </c>
      <c r="E40" s="206">
        <f>SUM(E31:E39)</f>
        <v>2640664</v>
      </c>
      <c r="F40" s="143">
        <f>(+D40-E40)/E40</f>
        <v>4.0503449132490918E-2</v>
      </c>
      <c r="G40" s="217">
        <f>D40/C40</f>
        <v>0.2493561718788074</v>
      </c>
      <c r="H40" s="123"/>
    </row>
    <row r="41" spans="1:8" ht="15.75" thickTop="1" x14ac:dyDescent="0.2">
      <c r="A41" s="133"/>
      <c r="B41" s="134"/>
      <c r="C41" s="204"/>
      <c r="D41" s="204"/>
      <c r="E41" s="204"/>
      <c r="F41" s="132"/>
      <c r="G41" s="218"/>
      <c r="H41" s="123"/>
    </row>
    <row r="42" spans="1:8" ht="15.75" x14ac:dyDescent="0.25">
      <c r="A42" s="177" t="s">
        <v>65</v>
      </c>
      <c r="B42" s="131">
        <f>DATE(2019,7,1)</f>
        <v>43647</v>
      </c>
      <c r="C42" s="204">
        <v>16460624.75</v>
      </c>
      <c r="D42" s="204">
        <v>3167330.9</v>
      </c>
      <c r="E42" s="204">
        <v>2640847.2400000002</v>
      </c>
      <c r="F42" s="132">
        <f t="shared" ref="F42:F49" si="6">(+D42-E42)/E42</f>
        <v>0.19936164880176849</v>
      </c>
      <c r="G42" s="215">
        <f t="shared" ref="G42:G49" si="7">D42/C42</f>
        <v>0.19241863222718808</v>
      </c>
      <c r="H42" s="123"/>
    </row>
    <row r="43" spans="1:8" ht="15.75" x14ac:dyDescent="0.25">
      <c r="A43" s="177"/>
      <c r="B43" s="131">
        <f>DATE(2019,8,1)</f>
        <v>43678</v>
      </c>
      <c r="C43" s="204">
        <v>17103013</v>
      </c>
      <c r="D43" s="204">
        <v>3869820.12</v>
      </c>
      <c r="E43" s="204">
        <v>3019576.86</v>
      </c>
      <c r="F43" s="132">
        <f t="shared" si="6"/>
        <v>0.28157695578578523</v>
      </c>
      <c r="G43" s="215">
        <f t="shared" si="7"/>
        <v>0.2262654024761602</v>
      </c>
      <c r="H43" s="123"/>
    </row>
    <row r="44" spans="1:8" ht="15.75" x14ac:dyDescent="0.25">
      <c r="A44" s="177"/>
      <c r="B44" s="131">
        <f>DATE(2019,9,1)</f>
        <v>43709</v>
      </c>
      <c r="C44" s="204">
        <v>13722156.5</v>
      </c>
      <c r="D44" s="204">
        <v>2776000.96</v>
      </c>
      <c r="E44" s="204">
        <v>3074145.25</v>
      </c>
      <c r="F44" s="132">
        <f t="shared" si="6"/>
        <v>-9.698445120639633E-2</v>
      </c>
      <c r="G44" s="215">
        <f t="shared" si="7"/>
        <v>0.20230063401477749</v>
      </c>
      <c r="H44" s="123"/>
    </row>
    <row r="45" spans="1:8" ht="15.75" x14ac:dyDescent="0.25">
      <c r="A45" s="177"/>
      <c r="B45" s="131">
        <f>DATE(2019,10,1)</f>
        <v>43739</v>
      </c>
      <c r="C45" s="204">
        <v>13658392</v>
      </c>
      <c r="D45" s="204">
        <v>3235048.5</v>
      </c>
      <c r="E45" s="204">
        <v>2577292.69</v>
      </c>
      <c r="F45" s="132">
        <f t="shared" si="6"/>
        <v>0.25521191774303292</v>
      </c>
      <c r="G45" s="215">
        <f t="shared" si="7"/>
        <v>0.23685427245022694</v>
      </c>
      <c r="H45" s="123"/>
    </row>
    <row r="46" spans="1:8" ht="15.75" x14ac:dyDescent="0.25">
      <c r="A46" s="177"/>
      <c r="B46" s="131">
        <f>DATE(2019,11,1)</f>
        <v>43770</v>
      </c>
      <c r="C46" s="204">
        <v>17067350</v>
      </c>
      <c r="D46" s="204">
        <v>3242492.5</v>
      </c>
      <c r="E46" s="204">
        <v>2885158.69</v>
      </c>
      <c r="F46" s="132">
        <f t="shared" si="6"/>
        <v>0.12385239371356729</v>
      </c>
      <c r="G46" s="215">
        <f t="shared" si="7"/>
        <v>0.18998218821316726</v>
      </c>
      <c r="H46" s="123"/>
    </row>
    <row r="47" spans="1:8" ht="15.75" x14ac:dyDescent="0.25">
      <c r="A47" s="177"/>
      <c r="B47" s="131">
        <f>DATE(2019,12,1)</f>
        <v>43800</v>
      </c>
      <c r="C47" s="204">
        <v>14731573</v>
      </c>
      <c r="D47" s="204">
        <v>2919239.74</v>
      </c>
      <c r="E47" s="204">
        <v>2894970.85</v>
      </c>
      <c r="F47" s="132">
        <f t="shared" si="6"/>
        <v>8.3831206797816745E-3</v>
      </c>
      <c r="G47" s="215">
        <f t="shared" si="7"/>
        <v>0.1981621202297949</v>
      </c>
      <c r="H47" s="123"/>
    </row>
    <row r="48" spans="1:8" ht="15.75" x14ac:dyDescent="0.25">
      <c r="A48" s="177"/>
      <c r="B48" s="131">
        <f>DATE(2020,1,1)</f>
        <v>43831</v>
      </c>
      <c r="C48" s="204">
        <v>13593915</v>
      </c>
      <c r="D48" s="204">
        <v>2925730.5</v>
      </c>
      <c r="E48" s="204">
        <v>2972641.43</v>
      </c>
      <c r="F48" s="132">
        <f t="shared" si="6"/>
        <v>-1.5780890869168895E-2</v>
      </c>
      <c r="G48" s="215">
        <f t="shared" si="7"/>
        <v>0.21522353935566024</v>
      </c>
      <c r="H48" s="123"/>
    </row>
    <row r="49" spans="1:8" ht="15.75" x14ac:dyDescent="0.25">
      <c r="A49" s="177"/>
      <c r="B49" s="131">
        <f>DATE(2020,2,1)</f>
        <v>43862</v>
      </c>
      <c r="C49" s="204">
        <v>15685351</v>
      </c>
      <c r="D49" s="204">
        <v>3337882.2</v>
      </c>
      <c r="E49" s="204">
        <v>3194583.97</v>
      </c>
      <c r="F49" s="132">
        <f t="shared" si="6"/>
        <v>4.4856617120006388E-2</v>
      </c>
      <c r="G49" s="215">
        <f t="shared" si="7"/>
        <v>0.21280251873228723</v>
      </c>
      <c r="H49" s="123"/>
    </row>
    <row r="50" spans="1:8" ht="15.75" customHeight="1" thickBot="1" x14ac:dyDescent="0.25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Top="1" thickBot="1" x14ac:dyDescent="0.3">
      <c r="A51" s="141" t="s">
        <v>14</v>
      </c>
      <c r="B51" s="142"/>
      <c r="C51" s="206">
        <f>SUM(C42:C50)</f>
        <v>122022375.25</v>
      </c>
      <c r="D51" s="206">
        <f>SUM(D42:D50)</f>
        <v>25473545.419999998</v>
      </c>
      <c r="E51" s="206">
        <f>SUM(E42:E50)</f>
        <v>23259216.979999997</v>
      </c>
      <c r="F51" s="143">
        <f>(+D51-E51)/E51</f>
        <v>9.5202191969920802E-2</v>
      </c>
      <c r="G51" s="217">
        <f>D51/C51</f>
        <v>0.20876126503692197</v>
      </c>
      <c r="H51" s="123"/>
    </row>
    <row r="52" spans="1:8" ht="15.75" customHeight="1" thickTop="1" x14ac:dyDescent="0.2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 x14ac:dyDescent="0.25">
      <c r="A53" s="130" t="s">
        <v>39</v>
      </c>
      <c r="B53" s="131">
        <f>DATE(2019,7,1)</f>
        <v>43647</v>
      </c>
      <c r="C53" s="204">
        <v>14612843</v>
      </c>
      <c r="D53" s="204">
        <v>2665528.5</v>
      </c>
      <c r="E53" s="204">
        <v>3513953.5</v>
      </c>
      <c r="F53" s="132">
        <f t="shared" ref="F53:F60" si="8">(+D53-E53)/E53</f>
        <v>-0.241444572331421</v>
      </c>
      <c r="G53" s="215">
        <f t="shared" ref="G53:G60" si="9">D53/C53</f>
        <v>0.1824099868861932</v>
      </c>
      <c r="H53" s="123"/>
    </row>
    <row r="54" spans="1:8" ht="15" customHeight="1" x14ac:dyDescent="0.25">
      <c r="A54" s="130"/>
      <c r="B54" s="131">
        <f>DATE(2019,8,1)</f>
        <v>43678</v>
      </c>
      <c r="C54" s="204">
        <v>15994186</v>
      </c>
      <c r="D54" s="204">
        <v>3359489.5</v>
      </c>
      <c r="E54" s="204">
        <v>3570821.5</v>
      </c>
      <c r="F54" s="132">
        <f t="shared" si="8"/>
        <v>-5.9183019929727652E-2</v>
      </c>
      <c r="G54" s="215">
        <f t="shared" si="9"/>
        <v>0.21004441864062354</v>
      </c>
      <c r="H54" s="123"/>
    </row>
    <row r="55" spans="1:8" ht="15" customHeight="1" x14ac:dyDescent="0.25">
      <c r="A55" s="130"/>
      <c r="B55" s="131">
        <f>DATE(2019,9,1)</f>
        <v>43709</v>
      </c>
      <c r="C55" s="204">
        <v>14986232</v>
      </c>
      <c r="D55" s="204">
        <v>3201605.5</v>
      </c>
      <c r="E55" s="204">
        <v>3367544</v>
      </c>
      <c r="F55" s="132">
        <f t="shared" si="8"/>
        <v>-4.9275822379752129E-2</v>
      </c>
      <c r="G55" s="215">
        <f t="shared" si="9"/>
        <v>0.21363645644882584</v>
      </c>
      <c r="H55" s="123"/>
    </row>
    <row r="56" spans="1:8" ht="15" customHeight="1" x14ac:dyDescent="0.25">
      <c r="A56" s="130"/>
      <c r="B56" s="131">
        <f>DATE(2019,10,1)</f>
        <v>43739</v>
      </c>
      <c r="C56" s="204">
        <v>15802061</v>
      </c>
      <c r="D56" s="204">
        <v>3223827</v>
      </c>
      <c r="E56" s="204">
        <v>3631888</v>
      </c>
      <c r="F56" s="132">
        <f t="shared" si="8"/>
        <v>-0.11235506160982937</v>
      </c>
      <c r="G56" s="215">
        <f t="shared" si="9"/>
        <v>0.20401307145947609</v>
      </c>
      <c r="H56" s="123"/>
    </row>
    <row r="57" spans="1:8" ht="15" customHeight="1" x14ac:dyDescent="0.25">
      <c r="A57" s="130"/>
      <c r="B57" s="131">
        <f>DATE(2019,11,1)</f>
        <v>43770</v>
      </c>
      <c r="C57" s="204">
        <v>15611065</v>
      </c>
      <c r="D57" s="204">
        <v>2721670</v>
      </c>
      <c r="E57" s="204">
        <v>3478954.5</v>
      </c>
      <c r="F57" s="132">
        <f t="shared" si="8"/>
        <v>-0.21767588509708879</v>
      </c>
      <c r="G57" s="215">
        <f t="shared" si="9"/>
        <v>0.17434236549524329</v>
      </c>
      <c r="H57" s="123"/>
    </row>
    <row r="58" spans="1:8" ht="15" customHeight="1" x14ac:dyDescent="0.25">
      <c r="A58" s="130"/>
      <c r="B58" s="131">
        <f>DATE(2019,12,1)</f>
        <v>43800</v>
      </c>
      <c r="C58" s="204">
        <v>16030300</v>
      </c>
      <c r="D58" s="204">
        <v>2841867</v>
      </c>
      <c r="E58" s="204">
        <v>3863094</v>
      </c>
      <c r="F58" s="132">
        <f t="shared" si="8"/>
        <v>-0.26435468564834302</v>
      </c>
      <c r="G58" s="215">
        <f t="shared" si="9"/>
        <v>0.17728096167882074</v>
      </c>
      <c r="H58" s="123"/>
    </row>
    <row r="59" spans="1:8" ht="15" customHeight="1" x14ac:dyDescent="0.25">
      <c r="A59" s="130"/>
      <c r="B59" s="131">
        <f>DATE(2020,1,1)</f>
        <v>43831</v>
      </c>
      <c r="C59" s="204">
        <v>15798016</v>
      </c>
      <c r="D59" s="204">
        <v>3701292</v>
      </c>
      <c r="E59" s="204">
        <v>2474875.5</v>
      </c>
      <c r="F59" s="132">
        <f t="shared" si="8"/>
        <v>0.49554674568478291</v>
      </c>
      <c r="G59" s="215">
        <f t="shared" si="9"/>
        <v>0.23428840684804977</v>
      </c>
      <c r="H59" s="123"/>
    </row>
    <row r="60" spans="1:8" ht="15" customHeight="1" x14ac:dyDescent="0.25">
      <c r="A60" s="130"/>
      <c r="B60" s="131">
        <f>DATE(2020,2,1)</f>
        <v>43862</v>
      </c>
      <c r="C60" s="204">
        <v>14165700.5</v>
      </c>
      <c r="D60" s="204">
        <v>3040097</v>
      </c>
      <c r="E60" s="204">
        <v>2417434</v>
      </c>
      <c r="F60" s="132">
        <f t="shared" si="8"/>
        <v>0.25757187166226669</v>
      </c>
      <c r="G60" s="215">
        <f t="shared" si="9"/>
        <v>0.21460971873575896</v>
      </c>
      <c r="H60" s="123"/>
    </row>
    <row r="61" spans="1:8" ht="15.75" thickBot="1" x14ac:dyDescent="0.25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Top="1" thickBot="1" x14ac:dyDescent="0.3">
      <c r="A62" s="141" t="s">
        <v>14</v>
      </c>
      <c r="B62" s="142"/>
      <c r="C62" s="207">
        <f>SUM(C53:C61)</f>
        <v>123000403.5</v>
      </c>
      <c r="D62" s="261">
        <f>SUM(D53:D61)</f>
        <v>24755376.5</v>
      </c>
      <c r="E62" s="206">
        <f>SUM(E53:E61)</f>
        <v>26318565</v>
      </c>
      <c r="F62" s="268">
        <f>(+D62-E62)/E62</f>
        <v>-5.9394898620042547E-2</v>
      </c>
      <c r="G62" s="267">
        <f>D62/C62</f>
        <v>0.20126256333785117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66</v>
      </c>
      <c r="B64" s="131">
        <f>DATE(2019,7,1)</f>
        <v>43647</v>
      </c>
      <c r="C64" s="204">
        <v>2326207</v>
      </c>
      <c r="D64" s="204">
        <v>550912.5</v>
      </c>
      <c r="E64" s="204">
        <v>682875.5</v>
      </c>
      <c r="F64" s="132">
        <f t="shared" ref="F64:F71" si="10">(+D64-E64)/E64</f>
        <v>-0.19324606022620522</v>
      </c>
      <c r="G64" s="215">
        <f t="shared" ref="G64:G71" si="11">D64/C64</f>
        <v>0.23682866572063449</v>
      </c>
      <c r="H64" s="123"/>
    </row>
    <row r="65" spans="1:8" ht="15.75" x14ac:dyDescent="0.25">
      <c r="A65" s="130"/>
      <c r="B65" s="131">
        <f>DATE(2019,8,1)</f>
        <v>43678</v>
      </c>
      <c r="C65" s="204">
        <v>2456667</v>
      </c>
      <c r="D65" s="204">
        <v>544892.5</v>
      </c>
      <c r="E65" s="204">
        <v>651283.5</v>
      </c>
      <c r="F65" s="132">
        <f t="shared" si="10"/>
        <v>-0.16335589647212007</v>
      </c>
      <c r="G65" s="215">
        <f t="shared" si="11"/>
        <v>0.22180153028473129</v>
      </c>
      <c r="H65" s="123"/>
    </row>
    <row r="66" spans="1:8" ht="15.75" x14ac:dyDescent="0.25">
      <c r="A66" s="130"/>
      <c r="B66" s="131">
        <f>DATE(2019,9,1)</f>
        <v>43709</v>
      </c>
      <c r="C66" s="204">
        <v>2398271</v>
      </c>
      <c r="D66" s="204">
        <v>648210.4</v>
      </c>
      <c r="E66" s="204">
        <v>584999.5</v>
      </c>
      <c r="F66" s="132">
        <f t="shared" si="10"/>
        <v>0.10805291286573754</v>
      </c>
      <c r="G66" s="215">
        <f t="shared" si="11"/>
        <v>0.27028238259979792</v>
      </c>
      <c r="H66" s="123"/>
    </row>
    <row r="67" spans="1:8" ht="15.75" x14ac:dyDescent="0.25">
      <c r="A67" s="130"/>
      <c r="B67" s="131">
        <f>DATE(2019,10,1)</f>
        <v>43739</v>
      </c>
      <c r="C67" s="204">
        <v>2701389</v>
      </c>
      <c r="D67" s="204">
        <v>633881.5</v>
      </c>
      <c r="E67" s="204">
        <v>681963.5</v>
      </c>
      <c r="F67" s="132">
        <f t="shared" si="10"/>
        <v>-7.0505239649922613E-2</v>
      </c>
      <c r="G67" s="215">
        <f t="shared" si="11"/>
        <v>0.23465021142826895</v>
      </c>
      <c r="H67" s="123"/>
    </row>
    <row r="68" spans="1:8" ht="15.75" x14ac:dyDescent="0.25">
      <c r="A68" s="130"/>
      <c r="B68" s="131">
        <f>DATE(2019,11,1)</f>
        <v>43770</v>
      </c>
      <c r="C68" s="204">
        <v>2978379</v>
      </c>
      <c r="D68" s="204">
        <v>745956</v>
      </c>
      <c r="E68" s="204">
        <v>534840</v>
      </c>
      <c r="F68" s="132">
        <f t="shared" si="10"/>
        <v>0.3947273951088176</v>
      </c>
      <c r="G68" s="215">
        <f t="shared" si="11"/>
        <v>0.250457043915499</v>
      </c>
      <c r="H68" s="123"/>
    </row>
    <row r="69" spans="1:8" ht="15.75" x14ac:dyDescent="0.25">
      <c r="A69" s="130"/>
      <c r="B69" s="131">
        <f>DATE(2019,12,1)</f>
        <v>43800</v>
      </c>
      <c r="C69" s="204">
        <v>3201903</v>
      </c>
      <c r="D69" s="204">
        <v>825802.5</v>
      </c>
      <c r="E69" s="204">
        <v>680547.57</v>
      </c>
      <c r="F69" s="132">
        <f t="shared" si="10"/>
        <v>0.21343831996931539</v>
      </c>
      <c r="G69" s="215">
        <f t="shared" si="11"/>
        <v>0.25790990545310088</v>
      </c>
      <c r="H69" s="123"/>
    </row>
    <row r="70" spans="1:8" ht="15.75" x14ac:dyDescent="0.25">
      <c r="A70" s="130"/>
      <c r="B70" s="131">
        <f>DATE(2020,1,1)</f>
        <v>43831</v>
      </c>
      <c r="C70" s="204">
        <v>2935436</v>
      </c>
      <c r="D70" s="204">
        <v>839366</v>
      </c>
      <c r="E70" s="204">
        <v>696823.5</v>
      </c>
      <c r="F70" s="132">
        <f t="shared" si="10"/>
        <v>0.20456040876922205</v>
      </c>
      <c r="G70" s="215">
        <f t="shared" si="11"/>
        <v>0.28594253119468455</v>
      </c>
      <c r="H70" s="123"/>
    </row>
    <row r="71" spans="1:8" ht="15.75" x14ac:dyDescent="0.25">
      <c r="A71" s="130"/>
      <c r="B71" s="131">
        <f>DATE(2020,2,1)</f>
        <v>43862</v>
      </c>
      <c r="C71" s="204">
        <v>2979862</v>
      </c>
      <c r="D71" s="204">
        <v>859354</v>
      </c>
      <c r="E71" s="204">
        <v>505834.5</v>
      </c>
      <c r="F71" s="132">
        <f t="shared" si="10"/>
        <v>0.69888372580359781</v>
      </c>
      <c r="G71" s="215">
        <f t="shared" si="11"/>
        <v>0.28838718034593547</v>
      </c>
      <c r="H71" s="123"/>
    </row>
    <row r="72" spans="1:8" ht="15.75" customHeight="1" thickBot="1" x14ac:dyDescent="0.3">
      <c r="A72" s="130"/>
      <c r="B72" s="131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1" t="s">
        <v>14</v>
      </c>
      <c r="B73" s="142"/>
      <c r="C73" s="207">
        <f>SUM(C64:C72)</f>
        <v>21978114</v>
      </c>
      <c r="D73" s="261">
        <f>SUM(D64:D72)</f>
        <v>5648375.4000000004</v>
      </c>
      <c r="E73" s="207">
        <f>SUM(E64:E72)</f>
        <v>5019167.57</v>
      </c>
      <c r="F73" s="268">
        <f>(+D73-E73)/E73</f>
        <v>0.12536099287874544</v>
      </c>
      <c r="G73" s="267">
        <f>D73/C73</f>
        <v>0.25700000464098061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17</v>
      </c>
      <c r="B75" s="131">
        <f>DATE(2019,7,1)</f>
        <v>43647</v>
      </c>
      <c r="C75" s="204">
        <v>1428358</v>
      </c>
      <c r="D75" s="204">
        <v>255421</v>
      </c>
      <c r="E75" s="204">
        <v>395162.5</v>
      </c>
      <c r="F75" s="132">
        <f t="shared" ref="F75:F82" si="12">(+D75-E75)/E75</f>
        <v>-0.35363046847815771</v>
      </c>
      <c r="G75" s="215">
        <f t="shared" ref="G75:G82" si="13">D75/C75</f>
        <v>0.17882141591953837</v>
      </c>
      <c r="H75" s="123"/>
    </row>
    <row r="76" spans="1:8" ht="15.75" x14ac:dyDescent="0.25">
      <c r="A76" s="130"/>
      <c r="B76" s="131">
        <f>DATE(2019,8,1)</f>
        <v>43678</v>
      </c>
      <c r="C76" s="204">
        <v>1645771</v>
      </c>
      <c r="D76" s="204">
        <v>366605.5</v>
      </c>
      <c r="E76" s="204">
        <v>271146</v>
      </c>
      <c r="F76" s="132">
        <f t="shared" si="12"/>
        <v>0.35205940710908512</v>
      </c>
      <c r="G76" s="215">
        <f t="shared" si="13"/>
        <v>0.22275608210376777</v>
      </c>
      <c r="H76" s="123"/>
    </row>
    <row r="77" spans="1:8" ht="15.75" x14ac:dyDescent="0.25">
      <c r="A77" s="130"/>
      <c r="B77" s="131">
        <f>DATE(2019,9,1)</f>
        <v>43709</v>
      </c>
      <c r="C77" s="204">
        <v>1422549</v>
      </c>
      <c r="D77" s="204">
        <v>323382</v>
      </c>
      <c r="E77" s="204">
        <v>347747</v>
      </c>
      <c r="F77" s="132">
        <f t="shared" si="12"/>
        <v>-7.0065306098974253E-2</v>
      </c>
      <c r="G77" s="215">
        <f t="shared" si="13"/>
        <v>0.22732573710993434</v>
      </c>
      <c r="H77" s="123"/>
    </row>
    <row r="78" spans="1:8" ht="15.75" x14ac:dyDescent="0.25">
      <c r="A78" s="130"/>
      <c r="B78" s="131">
        <f>DATE(2019,10,1)</f>
        <v>43739</v>
      </c>
      <c r="C78" s="204">
        <v>1396946</v>
      </c>
      <c r="D78" s="204">
        <v>301934</v>
      </c>
      <c r="E78" s="204">
        <v>240203.5</v>
      </c>
      <c r="F78" s="132">
        <f t="shared" si="12"/>
        <v>0.25699250843555571</v>
      </c>
      <c r="G78" s="215">
        <f t="shared" si="13"/>
        <v>0.21613863384840931</v>
      </c>
      <c r="H78" s="123"/>
    </row>
    <row r="79" spans="1:8" ht="15.75" x14ac:dyDescent="0.25">
      <c r="A79" s="130"/>
      <c r="B79" s="131">
        <f>DATE(2019,11,1)</f>
        <v>43770</v>
      </c>
      <c r="C79" s="204">
        <v>1457385</v>
      </c>
      <c r="D79" s="204">
        <v>378106</v>
      </c>
      <c r="E79" s="204">
        <v>171704.5</v>
      </c>
      <c r="F79" s="132">
        <f t="shared" si="12"/>
        <v>1.2020739118660257</v>
      </c>
      <c r="G79" s="215">
        <f t="shared" si="13"/>
        <v>0.25944139674828548</v>
      </c>
      <c r="H79" s="123"/>
    </row>
    <row r="80" spans="1:8" ht="15.75" x14ac:dyDescent="0.25">
      <c r="A80" s="130"/>
      <c r="B80" s="131">
        <f>DATE(2019,12,1)</f>
        <v>43800</v>
      </c>
      <c r="C80" s="204">
        <v>1230603</v>
      </c>
      <c r="D80" s="204">
        <v>350445.5</v>
      </c>
      <c r="E80" s="204">
        <v>334648.5</v>
      </c>
      <c r="F80" s="132">
        <f t="shared" si="12"/>
        <v>4.7204753644495639E-2</v>
      </c>
      <c r="G80" s="215">
        <f t="shared" si="13"/>
        <v>0.28477543123168075</v>
      </c>
      <c r="H80" s="123"/>
    </row>
    <row r="81" spans="1:8" ht="15.75" x14ac:dyDescent="0.25">
      <c r="A81" s="130"/>
      <c r="B81" s="131">
        <f>DATE(2020,1,1)</f>
        <v>43831</v>
      </c>
      <c r="C81" s="204">
        <v>1325748</v>
      </c>
      <c r="D81" s="204">
        <v>284016.5</v>
      </c>
      <c r="E81" s="204">
        <v>312324</v>
      </c>
      <c r="F81" s="132">
        <f t="shared" si="12"/>
        <v>-9.0635045657714422E-2</v>
      </c>
      <c r="G81" s="215">
        <f t="shared" si="13"/>
        <v>0.21423113593231896</v>
      </c>
      <c r="H81" s="123"/>
    </row>
    <row r="82" spans="1:8" ht="15.75" x14ac:dyDescent="0.25">
      <c r="A82" s="130"/>
      <c r="B82" s="131">
        <f>DATE(2020,2,1)</f>
        <v>43862</v>
      </c>
      <c r="C82" s="204">
        <v>1430992</v>
      </c>
      <c r="D82" s="204">
        <v>306224.5</v>
      </c>
      <c r="E82" s="204">
        <v>300723</v>
      </c>
      <c r="F82" s="132">
        <f t="shared" si="12"/>
        <v>1.8294244204799765E-2</v>
      </c>
      <c r="G82" s="215">
        <f t="shared" si="13"/>
        <v>0.21399455762156602</v>
      </c>
      <c r="H82" s="123"/>
    </row>
    <row r="83" spans="1:8" ht="15.75" customHeight="1" thickBot="1" x14ac:dyDescent="0.3">
      <c r="A83" s="130"/>
      <c r="B83" s="131"/>
      <c r="C83" s="204"/>
      <c r="D83" s="204"/>
      <c r="E83" s="204"/>
      <c r="F83" s="132"/>
      <c r="G83" s="215"/>
      <c r="H83" s="123"/>
    </row>
    <row r="84" spans="1:8" ht="17.25" thickTop="1" thickBot="1" x14ac:dyDescent="0.3">
      <c r="A84" s="141" t="s">
        <v>14</v>
      </c>
      <c r="B84" s="142"/>
      <c r="C84" s="207">
        <f>SUM(C75:C83)</f>
        <v>11338352</v>
      </c>
      <c r="D84" s="261">
        <f>SUM(D75:D83)</f>
        <v>2566135</v>
      </c>
      <c r="E84" s="207">
        <f>SUM(E75:E83)</f>
        <v>2373659</v>
      </c>
      <c r="F84" s="269">
        <f>(+D84-E84)/E84</f>
        <v>8.1088311337053895E-2</v>
      </c>
      <c r="G84" s="267">
        <f>D84/C84</f>
        <v>0.2263234551194036</v>
      </c>
      <c r="H84" s="123"/>
    </row>
    <row r="85" spans="1:8" ht="15.75" customHeight="1" thickTop="1" x14ac:dyDescent="0.25">
      <c r="A85" s="130"/>
      <c r="B85" s="139"/>
      <c r="C85" s="205"/>
      <c r="D85" s="205"/>
      <c r="E85" s="205"/>
      <c r="F85" s="140"/>
      <c r="G85" s="216"/>
      <c r="H85" s="123"/>
    </row>
    <row r="86" spans="1:8" ht="15.75" x14ac:dyDescent="0.25">
      <c r="A86" s="130" t="s">
        <v>55</v>
      </c>
      <c r="B86" s="131">
        <f>DATE(2019,7,1)</f>
        <v>43647</v>
      </c>
      <c r="C86" s="204">
        <v>11352765</v>
      </c>
      <c r="D86" s="204">
        <v>1702644.86</v>
      </c>
      <c r="E86" s="204">
        <v>2057880.1</v>
      </c>
      <c r="F86" s="132">
        <f t="shared" ref="F86:F93" si="14">(+D86-E86)/E86</f>
        <v>-0.17262193263834952</v>
      </c>
      <c r="G86" s="215">
        <f t="shared" ref="G86:G93" si="15">D86/C86</f>
        <v>0.14997622693678589</v>
      </c>
      <c r="H86" s="123"/>
    </row>
    <row r="87" spans="1:8" ht="15.75" x14ac:dyDescent="0.25">
      <c r="A87" s="130"/>
      <c r="B87" s="131">
        <f>DATE(2019,8,1)</f>
        <v>43678</v>
      </c>
      <c r="C87" s="204">
        <v>11116688</v>
      </c>
      <c r="D87" s="204">
        <v>2308275.88</v>
      </c>
      <c r="E87" s="204">
        <v>2105874.34</v>
      </c>
      <c r="F87" s="132">
        <f t="shared" si="14"/>
        <v>9.6112828840490105E-2</v>
      </c>
      <c r="G87" s="215">
        <f t="shared" si="15"/>
        <v>0.20764061022491589</v>
      </c>
      <c r="H87" s="123"/>
    </row>
    <row r="88" spans="1:8" ht="15.75" x14ac:dyDescent="0.25">
      <c r="A88" s="130"/>
      <c r="B88" s="131">
        <f>DATE(2019,9,1)</f>
        <v>43709</v>
      </c>
      <c r="C88" s="204">
        <v>10317715</v>
      </c>
      <c r="D88" s="204">
        <v>1996051.56</v>
      </c>
      <c r="E88" s="204">
        <v>2555133.64</v>
      </c>
      <c r="F88" s="132">
        <f t="shared" si="14"/>
        <v>-0.21880737322216934</v>
      </c>
      <c r="G88" s="215">
        <f t="shared" si="15"/>
        <v>0.19345868343911418</v>
      </c>
      <c r="H88" s="123"/>
    </row>
    <row r="89" spans="1:8" ht="15.75" x14ac:dyDescent="0.25">
      <c r="A89" s="130"/>
      <c r="B89" s="131">
        <f>DATE(2019,10,1)</f>
        <v>43739</v>
      </c>
      <c r="C89" s="204">
        <v>10237727</v>
      </c>
      <c r="D89" s="204">
        <v>2026195.69</v>
      </c>
      <c r="E89" s="204">
        <v>2662687.6</v>
      </c>
      <c r="F89" s="132">
        <f t="shared" si="14"/>
        <v>-0.23904115150421706</v>
      </c>
      <c r="G89" s="215">
        <f t="shared" si="15"/>
        <v>0.19791460448203005</v>
      </c>
      <c r="H89" s="123"/>
    </row>
    <row r="90" spans="1:8" ht="15.75" x14ac:dyDescent="0.25">
      <c r="A90" s="130"/>
      <c r="B90" s="131">
        <f>DATE(2019,11,1)</f>
        <v>43770</v>
      </c>
      <c r="C90" s="204">
        <v>9911473</v>
      </c>
      <c r="D90" s="204">
        <v>1903112.96</v>
      </c>
      <c r="E90" s="204">
        <v>2453062.8199999998</v>
      </c>
      <c r="F90" s="132">
        <f t="shared" si="14"/>
        <v>-0.22418906499915886</v>
      </c>
      <c r="G90" s="215">
        <f t="shared" si="15"/>
        <v>0.1920111127780906</v>
      </c>
      <c r="H90" s="123"/>
    </row>
    <row r="91" spans="1:8" ht="15.75" x14ac:dyDescent="0.25">
      <c r="A91" s="130"/>
      <c r="B91" s="131">
        <f>DATE(2019,12,1)</f>
        <v>43800</v>
      </c>
      <c r="C91" s="204">
        <v>10227494</v>
      </c>
      <c r="D91" s="204">
        <v>1980334.65</v>
      </c>
      <c r="E91" s="204">
        <v>2360180.63</v>
      </c>
      <c r="F91" s="132">
        <f t="shared" si="14"/>
        <v>-0.16093936844147391</v>
      </c>
      <c r="G91" s="215">
        <f t="shared" si="15"/>
        <v>0.19362853207247052</v>
      </c>
      <c r="H91" s="123"/>
    </row>
    <row r="92" spans="1:8" ht="15.75" x14ac:dyDescent="0.25">
      <c r="A92" s="130"/>
      <c r="B92" s="131">
        <f>DATE(2020,1,1)</f>
        <v>43831</v>
      </c>
      <c r="C92" s="204">
        <v>9698406</v>
      </c>
      <c r="D92" s="204">
        <v>2178926.1</v>
      </c>
      <c r="E92" s="204">
        <v>2536749.79</v>
      </c>
      <c r="F92" s="132">
        <f t="shared" si="14"/>
        <v>-0.14105596516083674</v>
      </c>
      <c r="G92" s="215">
        <f t="shared" si="15"/>
        <v>0.22466847644860405</v>
      </c>
      <c r="H92" s="123"/>
    </row>
    <row r="93" spans="1:8" ht="15.75" x14ac:dyDescent="0.25">
      <c r="A93" s="130"/>
      <c r="B93" s="131">
        <f>DATE(2020,2,1)</f>
        <v>43862</v>
      </c>
      <c r="C93" s="204">
        <v>10085104</v>
      </c>
      <c r="D93" s="204">
        <v>2379520.27</v>
      </c>
      <c r="E93" s="204">
        <v>1828257.84</v>
      </c>
      <c r="F93" s="132">
        <f t="shared" si="14"/>
        <v>0.30152335077638714</v>
      </c>
      <c r="G93" s="215">
        <f t="shared" si="15"/>
        <v>0.23594404876737018</v>
      </c>
      <c r="H93" s="123"/>
    </row>
    <row r="94" spans="1:8" ht="15.75" customHeight="1" thickBot="1" x14ac:dyDescent="0.3">
      <c r="A94" s="130"/>
      <c r="B94" s="131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1" t="s">
        <v>14</v>
      </c>
      <c r="B95" s="142"/>
      <c r="C95" s="206">
        <f>SUM(C86:C94)</f>
        <v>82947372</v>
      </c>
      <c r="D95" s="206">
        <f>SUM(D86:D94)</f>
        <v>16475061.969999999</v>
      </c>
      <c r="E95" s="206">
        <f>SUM(E86:E94)</f>
        <v>18559826.759999998</v>
      </c>
      <c r="F95" s="143">
        <f>(+D95-E95)/E95</f>
        <v>-0.11232673757995786</v>
      </c>
      <c r="G95" s="217">
        <f>D95/C95</f>
        <v>0.19862066238819476</v>
      </c>
      <c r="H95" s="123"/>
    </row>
    <row r="96" spans="1:8" ht="15.75" customHeight="1" thickTop="1" x14ac:dyDescent="0.25">
      <c r="A96" s="138"/>
      <c r="B96" s="139"/>
      <c r="C96" s="205"/>
      <c r="D96" s="205"/>
      <c r="E96" s="205"/>
      <c r="F96" s="140"/>
      <c r="G96" s="216"/>
      <c r="H96" s="123"/>
    </row>
    <row r="97" spans="1:8" ht="15.75" x14ac:dyDescent="0.25">
      <c r="A97" s="130" t="s">
        <v>18</v>
      </c>
      <c r="B97" s="131">
        <f>DATE(2019,7,1)</f>
        <v>43647</v>
      </c>
      <c r="C97" s="204">
        <v>12048638</v>
      </c>
      <c r="D97" s="204">
        <v>2126431.5</v>
      </c>
      <c r="E97" s="204">
        <v>2729067.84</v>
      </c>
      <c r="F97" s="132">
        <f t="shared" ref="F97:F104" si="16">(+D97-E97)/E97</f>
        <v>-0.220821311646104</v>
      </c>
      <c r="G97" s="215">
        <f t="shared" ref="G97:G104" si="17">D97/C97</f>
        <v>0.17648729258858969</v>
      </c>
      <c r="H97" s="123"/>
    </row>
    <row r="98" spans="1:8" ht="15.75" x14ac:dyDescent="0.25">
      <c r="A98" s="130"/>
      <c r="B98" s="131">
        <f>DATE(2019,8,1)</f>
        <v>43678</v>
      </c>
      <c r="C98" s="204">
        <v>12757078</v>
      </c>
      <c r="D98" s="204">
        <v>2726871</v>
      </c>
      <c r="E98" s="204">
        <v>2970026</v>
      </c>
      <c r="F98" s="132">
        <f t="shared" si="16"/>
        <v>-8.1869653666331546E-2</v>
      </c>
      <c r="G98" s="215">
        <f t="shared" si="17"/>
        <v>0.21375357272253098</v>
      </c>
      <c r="H98" s="123"/>
    </row>
    <row r="99" spans="1:8" ht="15.75" x14ac:dyDescent="0.25">
      <c r="A99" s="130"/>
      <c r="B99" s="131">
        <f>DATE(2019,9,1)</f>
        <v>43709</v>
      </c>
      <c r="C99" s="204">
        <v>12239206</v>
      </c>
      <c r="D99" s="204">
        <v>2679876</v>
      </c>
      <c r="E99" s="204">
        <v>2637413.5</v>
      </c>
      <c r="F99" s="132">
        <f t="shared" si="16"/>
        <v>1.6100054087081907E-2</v>
      </c>
      <c r="G99" s="215">
        <f t="shared" si="17"/>
        <v>0.21895832131594156</v>
      </c>
      <c r="H99" s="123"/>
    </row>
    <row r="100" spans="1:8" ht="15.75" x14ac:dyDescent="0.25">
      <c r="A100" s="130"/>
      <c r="B100" s="131">
        <f>DATE(2019,10,1)</f>
        <v>43739</v>
      </c>
      <c r="C100" s="204">
        <v>12190070</v>
      </c>
      <c r="D100" s="204">
        <v>3088329</v>
      </c>
      <c r="E100" s="204">
        <v>1894492</v>
      </c>
      <c r="F100" s="132">
        <f t="shared" si="16"/>
        <v>0.6301620698319127</v>
      </c>
      <c r="G100" s="215">
        <f t="shared" si="17"/>
        <v>0.25334792991344596</v>
      </c>
      <c r="H100" s="123"/>
    </row>
    <row r="101" spans="1:8" ht="15.75" x14ac:dyDescent="0.25">
      <c r="A101" s="130"/>
      <c r="B101" s="131">
        <f>DATE(2019,11,1)</f>
        <v>43770</v>
      </c>
      <c r="C101" s="204">
        <v>12234070</v>
      </c>
      <c r="D101" s="204">
        <v>2810591.5</v>
      </c>
      <c r="E101" s="204">
        <v>2412367</v>
      </c>
      <c r="F101" s="132">
        <f t="shared" si="16"/>
        <v>0.16507625083579738</v>
      </c>
      <c r="G101" s="215">
        <f t="shared" si="17"/>
        <v>0.2297347898123846</v>
      </c>
      <c r="H101" s="123"/>
    </row>
    <row r="102" spans="1:8" ht="15.75" x14ac:dyDescent="0.25">
      <c r="A102" s="130"/>
      <c r="B102" s="131">
        <f>DATE(2019,12,1)</f>
        <v>43800</v>
      </c>
      <c r="C102" s="204">
        <v>11492519.5</v>
      </c>
      <c r="D102" s="204">
        <v>1704640.5</v>
      </c>
      <c r="E102" s="204">
        <v>2615452.5</v>
      </c>
      <c r="F102" s="132">
        <f t="shared" si="16"/>
        <v>-0.34824260811465702</v>
      </c>
      <c r="G102" s="215">
        <f t="shared" si="17"/>
        <v>0.14832609159375365</v>
      </c>
      <c r="H102" s="123"/>
    </row>
    <row r="103" spans="1:8" ht="15.75" x14ac:dyDescent="0.25">
      <c r="A103" s="130"/>
      <c r="B103" s="131">
        <f>DATE(2020,1,1)</f>
        <v>43831</v>
      </c>
      <c r="C103" s="204">
        <v>11073267.5</v>
      </c>
      <c r="D103" s="204">
        <v>2631202</v>
      </c>
      <c r="E103" s="204">
        <v>2027761</v>
      </c>
      <c r="F103" s="132">
        <f t="shared" si="16"/>
        <v>0.2975898047156445</v>
      </c>
      <c r="G103" s="215">
        <f t="shared" si="17"/>
        <v>0.23761748734057042</v>
      </c>
      <c r="H103" s="123"/>
    </row>
    <row r="104" spans="1:8" ht="15.75" x14ac:dyDescent="0.25">
      <c r="A104" s="130"/>
      <c r="B104" s="131">
        <f>DATE(2020,2,1)</f>
        <v>43862</v>
      </c>
      <c r="C104" s="204">
        <v>12696442</v>
      </c>
      <c r="D104" s="204">
        <v>2680732</v>
      </c>
      <c r="E104" s="204">
        <v>2349146</v>
      </c>
      <c r="F104" s="132">
        <f t="shared" si="16"/>
        <v>0.1411517206678512</v>
      </c>
      <c r="G104" s="215">
        <f t="shared" si="17"/>
        <v>0.21114041240845269</v>
      </c>
      <c r="H104" s="123"/>
    </row>
    <row r="105" spans="1:8" ht="15.75" customHeight="1" thickBot="1" x14ac:dyDescent="0.3">
      <c r="A105" s="130"/>
      <c r="B105" s="131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1" t="s">
        <v>14</v>
      </c>
      <c r="B106" s="142"/>
      <c r="C106" s="206">
        <f>SUM(C97:C105)</f>
        <v>96731291</v>
      </c>
      <c r="D106" s="206">
        <f>SUM(D97:D105)</f>
        <v>20448673.5</v>
      </c>
      <c r="E106" s="206">
        <f>SUM(E97:E105)</f>
        <v>19635725.84</v>
      </c>
      <c r="F106" s="143">
        <f>(+D106-E106)/E106</f>
        <v>4.1401457049473664E-2</v>
      </c>
      <c r="G106" s="217">
        <f>D106/C106</f>
        <v>0.21139667721378805</v>
      </c>
      <c r="H106" s="123"/>
    </row>
    <row r="107" spans="1:8" ht="15.75" customHeight="1" thickTop="1" x14ac:dyDescent="0.25">
      <c r="A107" s="138"/>
      <c r="B107" s="139"/>
      <c r="C107" s="205"/>
      <c r="D107" s="205"/>
      <c r="E107" s="205"/>
      <c r="F107" s="140"/>
      <c r="G107" s="216"/>
      <c r="H107" s="123"/>
    </row>
    <row r="108" spans="1:8" ht="15.75" x14ac:dyDescent="0.25">
      <c r="A108" s="130" t="s">
        <v>58</v>
      </c>
      <c r="B108" s="131">
        <f>DATE(2019,7,1)</f>
        <v>43647</v>
      </c>
      <c r="C108" s="204">
        <v>11570649</v>
      </c>
      <c r="D108" s="204">
        <v>1977732.9</v>
      </c>
      <c r="E108" s="204">
        <v>2887936.73</v>
      </c>
      <c r="F108" s="132">
        <f t="shared" ref="F108:F115" si="18">(+D108-E108)/E108</f>
        <v>-0.31517443597180195</v>
      </c>
      <c r="G108" s="215">
        <f t="shared" ref="G108:G115" si="19">D108/C108</f>
        <v>0.17092670428426271</v>
      </c>
      <c r="H108" s="123"/>
    </row>
    <row r="109" spans="1:8" ht="15.75" x14ac:dyDescent="0.25">
      <c r="A109" s="130"/>
      <c r="B109" s="131">
        <f>DATE(2019,8,1)</f>
        <v>43678</v>
      </c>
      <c r="C109" s="204">
        <v>12902308</v>
      </c>
      <c r="D109" s="204">
        <v>2649402.5</v>
      </c>
      <c r="E109" s="204">
        <v>2450226.84</v>
      </c>
      <c r="F109" s="132">
        <f t="shared" si="18"/>
        <v>8.1288661420425942E-2</v>
      </c>
      <c r="G109" s="215">
        <f t="shared" si="19"/>
        <v>0.20534329981891611</v>
      </c>
      <c r="H109" s="123"/>
    </row>
    <row r="110" spans="1:8" ht="15.75" x14ac:dyDescent="0.25">
      <c r="A110" s="130"/>
      <c r="B110" s="131">
        <f>DATE(2019,9,1)</f>
        <v>43709</v>
      </c>
      <c r="C110" s="204">
        <v>12612498</v>
      </c>
      <c r="D110" s="204">
        <v>2515306.23</v>
      </c>
      <c r="E110" s="204">
        <v>1932757.4</v>
      </c>
      <c r="F110" s="132">
        <f t="shared" si="18"/>
        <v>0.30140814879301464</v>
      </c>
      <c r="G110" s="215">
        <f t="shared" si="19"/>
        <v>0.19942966333869785</v>
      </c>
      <c r="H110" s="123"/>
    </row>
    <row r="111" spans="1:8" ht="15.75" x14ac:dyDescent="0.25">
      <c r="A111" s="130"/>
      <c r="B111" s="131">
        <f>DATE(2019,10,1)</f>
        <v>43739</v>
      </c>
      <c r="C111" s="204">
        <v>13262208</v>
      </c>
      <c r="D111" s="204">
        <v>2541006.48</v>
      </c>
      <c r="E111" s="204">
        <v>1108774.5</v>
      </c>
      <c r="F111" s="132">
        <f t="shared" si="18"/>
        <v>1.291725215542024</v>
      </c>
      <c r="G111" s="215">
        <f t="shared" si="19"/>
        <v>0.19159754393838491</v>
      </c>
      <c r="H111" s="123"/>
    </row>
    <row r="112" spans="1:8" ht="15.75" x14ac:dyDescent="0.25">
      <c r="A112" s="130"/>
      <c r="B112" s="131">
        <f>DATE(2019,11,1)</f>
        <v>43770</v>
      </c>
      <c r="C112" s="204">
        <v>13497353</v>
      </c>
      <c r="D112" s="204">
        <v>2692124.24</v>
      </c>
      <c r="E112" s="204">
        <v>4255264.95</v>
      </c>
      <c r="F112" s="132">
        <f t="shared" si="18"/>
        <v>-0.36734274560271502</v>
      </c>
      <c r="G112" s="215">
        <f t="shared" si="19"/>
        <v>0.19945571846568733</v>
      </c>
      <c r="H112" s="123"/>
    </row>
    <row r="113" spans="1:8" ht="15.75" x14ac:dyDescent="0.25">
      <c r="A113" s="130"/>
      <c r="B113" s="131">
        <f>DATE(2019,12,1)</f>
        <v>43800</v>
      </c>
      <c r="C113" s="204">
        <v>15274965</v>
      </c>
      <c r="D113" s="204">
        <v>2968383.02</v>
      </c>
      <c r="E113" s="204">
        <v>3211966.31</v>
      </c>
      <c r="F113" s="132">
        <f t="shared" si="18"/>
        <v>-7.5836190822312841E-2</v>
      </c>
      <c r="G113" s="215">
        <f t="shared" si="19"/>
        <v>0.19432993921753666</v>
      </c>
      <c r="H113" s="123"/>
    </row>
    <row r="114" spans="1:8" ht="15.75" x14ac:dyDescent="0.25">
      <c r="A114" s="130"/>
      <c r="B114" s="131">
        <f>DATE(2020,1,1)</f>
        <v>43831</v>
      </c>
      <c r="C114" s="204">
        <v>13322495</v>
      </c>
      <c r="D114" s="204">
        <v>2913355</v>
      </c>
      <c r="E114" s="204">
        <v>2271310.91</v>
      </c>
      <c r="F114" s="132">
        <f t="shared" si="18"/>
        <v>0.28267556289772755</v>
      </c>
      <c r="G114" s="215">
        <f t="shared" si="19"/>
        <v>0.21867938400427248</v>
      </c>
      <c r="H114" s="123"/>
    </row>
    <row r="115" spans="1:8" ht="15.75" x14ac:dyDescent="0.25">
      <c r="A115" s="130"/>
      <c r="B115" s="131">
        <f>DATE(2020,2,1)</f>
        <v>43862</v>
      </c>
      <c r="C115" s="204">
        <v>12921112</v>
      </c>
      <c r="D115" s="204">
        <v>2214831.5099999998</v>
      </c>
      <c r="E115" s="204">
        <v>2581578.12</v>
      </c>
      <c r="F115" s="132">
        <f t="shared" si="18"/>
        <v>-0.14206295256329501</v>
      </c>
      <c r="G115" s="215">
        <f t="shared" si="19"/>
        <v>0.17141183436843516</v>
      </c>
      <c r="H115" s="123"/>
    </row>
    <row r="116" spans="1:8" ht="15.75" thickBot="1" x14ac:dyDescent="0.25">
      <c r="A116" s="133"/>
      <c r="B116" s="131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1" t="s">
        <v>14</v>
      </c>
      <c r="B117" s="142"/>
      <c r="C117" s="207">
        <f>SUM(C108:C116)</f>
        <v>105363588</v>
      </c>
      <c r="D117" s="207">
        <f>SUM(D108:D116)</f>
        <v>20472141.880000003</v>
      </c>
      <c r="E117" s="207">
        <f>SUM(E108:E116)</f>
        <v>20699815.760000002</v>
      </c>
      <c r="F117" s="143">
        <f>(+D117-E117)/E117</f>
        <v>-1.0998836059205531E-2</v>
      </c>
      <c r="G117" s="267">
        <f>D117/C117</f>
        <v>0.19429996897979596</v>
      </c>
      <c r="H117" s="123"/>
    </row>
    <row r="118" spans="1:8" ht="15.75" customHeight="1" thickTop="1" x14ac:dyDescent="0.25">
      <c r="A118" s="138"/>
      <c r="B118" s="139"/>
      <c r="C118" s="205"/>
      <c r="D118" s="205"/>
      <c r="E118" s="205"/>
      <c r="F118" s="140"/>
      <c r="G118" s="219"/>
      <c r="H118" s="123"/>
    </row>
    <row r="119" spans="1:8" ht="15.75" x14ac:dyDescent="0.25">
      <c r="A119" s="130" t="s">
        <v>59</v>
      </c>
      <c r="B119" s="131">
        <f>DATE(2019,7,1)</f>
        <v>43647</v>
      </c>
      <c r="C119" s="204">
        <v>679874</v>
      </c>
      <c r="D119" s="204">
        <v>135934</v>
      </c>
      <c r="E119" s="204">
        <v>154554.5</v>
      </c>
      <c r="F119" s="132">
        <f t="shared" ref="F119:F126" si="20">(+D119-E119)/E119</f>
        <v>-0.12047853669741095</v>
      </c>
      <c r="G119" s="215">
        <f t="shared" ref="G119:G126" si="21">D119/C119</f>
        <v>0.19993998888029252</v>
      </c>
      <c r="H119" s="123"/>
    </row>
    <row r="120" spans="1:8" ht="15.75" x14ac:dyDescent="0.25">
      <c r="A120" s="130"/>
      <c r="B120" s="131">
        <f>DATE(2019,8,1)</f>
        <v>43678</v>
      </c>
      <c r="C120" s="204">
        <v>642745</v>
      </c>
      <c r="D120" s="204">
        <v>134255.5</v>
      </c>
      <c r="E120" s="204">
        <v>228200</v>
      </c>
      <c r="F120" s="132">
        <f t="shared" si="20"/>
        <v>-0.41167616126205081</v>
      </c>
      <c r="G120" s="215">
        <f t="shared" si="21"/>
        <v>0.20887832655252084</v>
      </c>
      <c r="H120" s="123"/>
    </row>
    <row r="121" spans="1:8" ht="15.75" x14ac:dyDescent="0.25">
      <c r="A121" s="130"/>
      <c r="B121" s="131">
        <f>DATE(2019,9,1)</f>
        <v>43709</v>
      </c>
      <c r="C121" s="204">
        <v>552495</v>
      </c>
      <c r="D121" s="204">
        <v>147952</v>
      </c>
      <c r="E121" s="204">
        <v>133253.5</v>
      </c>
      <c r="F121" s="132">
        <f t="shared" si="20"/>
        <v>0.11030479499600386</v>
      </c>
      <c r="G121" s="215">
        <f t="shared" si="21"/>
        <v>0.26778884876786213</v>
      </c>
      <c r="H121" s="123"/>
    </row>
    <row r="122" spans="1:8" ht="15.75" x14ac:dyDescent="0.25">
      <c r="A122" s="130"/>
      <c r="B122" s="131">
        <f>DATE(2019,10,1)</f>
        <v>43739</v>
      </c>
      <c r="C122" s="204">
        <v>589373</v>
      </c>
      <c r="D122" s="204">
        <v>160874.5</v>
      </c>
      <c r="E122" s="204">
        <v>183569.5</v>
      </c>
      <c r="F122" s="132">
        <f t="shared" si="20"/>
        <v>-0.12363164904845304</v>
      </c>
      <c r="G122" s="215">
        <f t="shared" si="21"/>
        <v>0.27295872053860626</v>
      </c>
      <c r="H122" s="123"/>
    </row>
    <row r="123" spans="1:8" ht="15.75" x14ac:dyDescent="0.25">
      <c r="A123" s="130"/>
      <c r="B123" s="131">
        <f>DATE(2019,11,1)</f>
        <v>43770</v>
      </c>
      <c r="C123" s="204">
        <v>659075</v>
      </c>
      <c r="D123" s="204">
        <v>171123.5</v>
      </c>
      <c r="E123" s="204">
        <v>134566.5</v>
      </c>
      <c r="F123" s="132">
        <f t="shared" si="20"/>
        <v>0.2716649388963821</v>
      </c>
      <c r="G123" s="215">
        <f t="shared" si="21"/>
        <v>0.25964192239123013</v>
      </c>
      <c r="H123" s="123"/>
    </row>
    <row r="124" spans="1:8" ht="15.75" x14ac:dyDescent="0.25">
      <c r="A124" s="130"/>
      <c r="B124" s="131">
        <f>DATE(2019,12,1)</f>
        <v>43800</v>
      </c>
      <c r="C124" s="204">
        <v>700359</v>
      </c>
      <c r="D124" s="204">
        <v>110728</v>
      </c>
      <c r="E124" s="204">
        <v>155643.5</v>
      </c>
      <c r="F124" s="132">
        <f t="shared" si="20"/>
        <v>-0.28857934960342063</v>
      </c>
      <c r="G124" s="215">
        <f t="shared" si="21"/>
        <v>0.15810177351900953</v>
      </c>
      <c r="H124" s="123"/>
    </row>
    <row r="125" spans="1:8" ht="15.75" x14ac:dyDescent="0.25">
      <c r="A125" s="130"/>
      <c r="B125" s="131">
        <f>DATE(2020,1,1)</f>
        <v>43831</v>
      </c>
      <c r="C125" s="204">
        <v>660528</v>
      </c>
      <c r="D125" s="204">
        <v>199122</v>
      </c>
      <c r="E125" s="204">
        <v>147951.5</v>
      </c>
      <c r="F125" s="132">
        <f t="shared" si="20"/>
        <v>0.34585996086555393</v>
      </c>
      <c r="G125" s="215">
        <f t="shared" si="21"/>
        <v>0.30145883293365305</v>
      </c>
      <c r="H125" s="123"/>
    </row>
    <row r="126" spans="1:8" ht="15.75" x14ac:dyDescent="0.25">
      <c r="A126" s="130"/>
      <c r="B126" s="131">
        <f>DATE(2020,2,1)</f>
        <v>43862</v>
      </c>
      <c r="C126" s="204">
        <v>635573</v>
      </c>
      <c r="D126" s="204">
        <v>146026</v>
      </c>
      <c r="E126" s="204">
        <v>187673.5</v>
      </c>
      <c r="F126" s="132">
        <f t="shared" si="20"/>
        <v>-0.22191465497259869</v>
      </c>
      <c r="G126" s="215">
        <f t="shared" si="21"/>
        <v>0.2297548826019985</v>
      </c>
      <c r="H126" s="123"/>
    </row>
    <row r="127" spans="1:8" ht="15.75" thickBot="1" x14ac:dyDescent="0.25">
      <c r="A127" s="133"/>
      <c r="B127" s="134"/>
      <c r="C127" s="204"/>
      <c r="D127" s="204"/>
      <c r="E127" s="204"/>
      <c r="F127" s="132"/>
      <c r="G127" s="215"/>
      <c r="H127" s="123"/>
    </row>
    <row r="128" spans="1:8" ht="17.25" thickTop="1" thickBot="1" x14ac:dyDescent="0.3">
      <c r="A128" s="144" t="s">
        <v>14</v>
      </c>
      <c r="B128" s="145"/>
      <c r="C128" s="207">
        <f>SUM(C119:C127)</f>
        <v>5120022</v>
      </c>
      <c r="D128" s="207">
        <f>SUM(D119:D127)</f>
        <v>1206015.5</v>
      </c>
      <c r="E128" s="207">
        <f>SUM(E119:E127)</f>
        <v>1325412.5</v>
      </c>
      <c r="F128" s="143">
        <f>(+D128-E128)/E128</f>
        <v>-9.0082898720209748E-2</v>
      </c>
      <c r="G128" s="217">
        <f>D128/C128</f>
        <v>0.23554889021961234</v>
      </c>
      <c r="H128" s="123"/>
    </row>
    <row r="129" spans="1:8" ht="15.75" customHeight="1" thickTop="1" x14ac:dyDescent="0.25">
      <c r="A129" s="130"/>
      <c r="B129" s="134"/>
      <c r="C129" s="204"/>
      <c r="D129" s="204"/>
      <c r="E129" s="204"/>
      <c r="F129" s="132"/>
      <c r="G129" s="218"/>
      <c r="H129" s="123"/>
    </row>
    <row r="130" spans="1:8" ht="15.75" x14ac:dyDescent="0.25">
      <c r="A130" s="130" t="s">
        <v>40</v>
      </c>
      <c r="B130" s="131">
        <f>DATE(2019,7,1)</f>
        <v>43647</v>
      </c>
      <c r="C130" s="204">
        <v>18492660</v>
      </c>
      <c r="D130" s="204">
        <v>3678875.65</v>
      </c>
      <c r="E130" s="204">
        <v>4013253.36</v>
      </c>
      <c r="F130" s="132">
        <f t="shared" ref="F130:F137" si="22">(+D130-E130)/E130</f>
        <v>-8.3318365427095781E-2</v>
      </c>
      <c r="G130" s="215">
        <f t="shared" ref="G130:G137" si="23">D130/C130</f>
        <v>0.19893707287107426</v>
      </c>
      <c r="H130" s="123"/>
    </row>
    <row r="131" spans="1:8" ht="15.75" x14ac:dyDescent="0.25">
      <c r="A131" s="130"/>
      <c r="B131" s="131">
        <f>DATE(2019,8,1)</f>
        <v>43678</v>
      </c>
      <c r="C131" s="204">
        <v>18036604</v>
      </c>
      <c r="D131" s="204">
        <v>3806318.41</v>
      </c>
      <c r="E131" s="204">
        <v>4154776.6</v>
      </c>
      <c r="F131" s="132">
        <f t="shared" si="22"/>
        <v>-8.3869296366018795E-2</v>
      </c>
      <c r="G131" s="215">
        <f t="shared" si="23"/>
        <v>0.21103298658661021</v>
      </c>
      <c r="H131" s="123"/>
    </row>
    <row r="132" spans="1:8" ht="15.75" x14ac:dyDescent="0.25">
      <c r="A132" s="130"/>
      <c r="B132" s="131">
        <f>DATE(2019,9,1)</f>
        <v>43709</v>
      </c>
      <c r="C132" s="204">
        <v>19700815</v>
      </c>
      <c r="D132" s="204">
        <v>3987675.53</v>
      </c>
      <c r="E132" s="204">
        <v>3317290.2</v>
      </c>
      <c r="F132" s="132">
        <f t="shared" si="22"/>
        <v>0.20208823756209196</v>
      </c>
      <c r="G132" s="215">
        <f t="shared" si="23"/>
        <v>0.20241170377976747</v>
      </c>
      <c r="H132" s="123"/>
    </row>
    <row r="133" spans="1:8" ht="15.75" x14ac:dyDescent="0.25">
      <c r="A133" s="130"/>
      <c r="B133" s="131">
        <f>DATE(2019,10,1)</f>
        <v>43739</v>
      </c>
      <c r="C133" s="204">
        <v>15446007</v>
      </c>
      <c r="D133" s="204">
        <v>3485177.78</v>
      </c>
      <c r="E133" s="204">
        <v>3010473</v>
      </c>
      <c r="F133" s="132">
        <f t="shared" si="22"/>
        <v>0.15768445025084091</v>
      </c>
      <c r="G133" s="215">
        <f t="shared" si="23"/>
        <v>0.22563616473823944</v>
      </c>
      <c r="H133" s="123"/>
    </row>
    <row r="134" spans="1:8" ht="15.75" x14ac:dyDescent="0.25">
      <c r="A134" s="130"/>
      <c r="B134" s="131">
        <f>DATE(2019,11,1)</f>
        <v>43770</v>
      </c>
      <c r="C134" s="204">
        <v>16313312</v>
      </c>
      <c r="D134" s="204">
        <v>3099140.29</v>
      </c>
      <c r="E134" s="204">
        <v>3636412.28</v>
      </c>
      <c r="F134" s="132">
        <f t="shared" si="22"/>
        <v>-0.14774782082740073</v>
      </c>
      <c r="G134" s="215">
        <f t="shared" si="23"/>
        <v>0.18997615505668008</v>
      </c>
      <c r="H134" s="123"/>
    </row>
    <row r="135" spans="1:8" ht="15.75" x14ac:dyDescent="0.25">
      <c r="A135" s="130"/>
      <c r="B135" s="131">
        <f>DATE(2019,12,1)</f>
        <v>43800</v>
      </c>
      <c r="C135" s="204">
        <v>17539177</v>
      </c>
      <c r="D135" s="204">
        <v>4022599</v>
      </c>
      <c r="E135" s="204">
        <v>3158388.6</v>
      </c>
      <c r="F135" s="132">
        <f t="shared" si="22"/>
        <v>0.27362383463516804</v>
      </c>
      <c r="G135" s="215">
        <f t="shared" si="23"/>
        <v>0.22934935886672447</v>
      </c>
      <c r="H135" s="123"/>
    </row>
    <row r="136" spans="1:8" ht="15.75" x14ac:dyDescent="0.25">
      <c r="A136" s="130"/>
      <c r="B136" s="131">
        <f>DATE(2020,1,1)</f>
        <v>43831</v>
      </c>
      <c r="C136" s="204">
        <v>17379592</v>
      </c>
      <c r="D136" s="204">
        <v>3993751.63</v>
      </c>
      <c r="E136" s="204">
        <v>3469211.92</v>
      </c>
      <c r="F136" s="132">
        <f t="shared" si="22"/>
        <v>0.15119852061386899</v>
      </c>
      <c r="G136" s="215">
        <f t="shared" si="23"/>
        <v>0.22979547678679682</v>
      </c>
      <c r="H136" s="123"/>
    </row>
    <row r="137" spans="1:8" ht="15.75" x14ac:dyDescent="0.25">
      <c r="A137" s="130"/>
      <c r="B137" s="131">
        <f>DATE(2020,2,1)</f>
        <v>43862</v>
      </c>
      <c r="C137" s="204">
        <v>18244122</v>
      </c>
      <c r="D137" s="204">
        <v>3495544.26</v>
      </c>
      <c r="E137" s="204">
        <v>3743256.73</v>
      </c>
      <c r="F137" s="132">
        <f t="shared" si="22"/>
        <v>-6.6175656084374479E-2</v>
      </c>
      <c r="G137" s="215">
        <f t="shared" si="23"/>
        <v>0.19159838220770503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1" t="s">
        <v>14</v>
      </c>
      <c r="B139" s="142"/>
      <c r="C139" s="206">
        <f>SUM(C130:C138)</f>
        <v>141152289</v>
      </c>
      <c r="D139" s="207">
        <f>SUM(D130:D138)</f>
        <v>29569082.549999997</v>
      </c>
      <c r="E139" s="206">
        <f>SUM(E130:E138)</f>
        <v>28503062.690000001</v>
      </c>
      <c r="F139" s="143">
        <f>(+D139-E139)/E139</f>
        <v>3.7400186485012275E-2</v>
      </c>
      <c r="G139" s="217">
        <f>D139/C139</f>
        <v>0.20948354971416722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64</v>
      </c>
      <c r="B141" s="131">
        <f>DATE(2019,7,1)</f>
        <v>43647</v>
      </c>
      <c r="C141" s="204">
        <v>622244</v>
      </c>
      <c r="D141" s="204">
        <v>102948</v>
      </c>
      <c r="E141" s="204">
        <v>171143.5</v>
      </c>
      <c r="F141" s="132">
        <f t="shared" ref="F141:F148" si="24">(+D141-E141)/E141</f>
        <v>-0.39846970524735092</v>
      </c>
      <c r="G141" s="215">
        <f t="shared" ref="G141:G148" si="25">D141/C141</f>
        <v>0.16544635223481463</v>
      </c>
      <c r="H141" s="123"/>
    </row>
    <row r="142" spans="1:8" ht="15.75" x14ac:dyDescent="0.25">
      <c r="A142" s="130"/>
      <c r="B142" s="131">
        <f>DATE(2019,8,1)</f>
        <v>43678</v>
      </c>
      <c r="C142" s="204">
        <v>680355</v>
      </c>
      <c r="D142" s="204">
        <v>208443.5</v>
      </c>
      <c r="E142" s="204">
        <v>217353.5</v>
      </c>
      <c r="F142" s="132">
        <f t="shared" si="24"/>
        <v>-4.0993128705081816E-2</v>
      </c>
      <c r="G142" s="215">
        <f t="shared" si="25"/>
        <v>0.30637461325337506</v>
      </c>
      <c r="H142" s="123"/>
    </row>
    <row r="143" spans="1:8" ht="15.75" x14ac:dyDescent="0.25">
      <c r="A143" s="130"/>
      <c r="B143" s="131">
        <f>DATE(2019,9,1)</f>
        <v>43709</v>
      </c>
      <c r="C143" s="204">
        <v>591136</v>
      </c>
      <c r="D143" s="204">
        <v>206651.5</v>
      </c>
      <c r="E143" s="204">
        <v>169120</v>
      </c>
      <c r="F143" s="132">
        <f t="shared" si="24"/>
        <v>0.22192230368968779</v>
      </c>
      <c r="G143" s="215">
        <f t="shared" si="25"/>
        <v>0.34958368294267311</v>
      </c>
      <c r="H143" s="123"/>
    </row>
    <row r="144" spans="1:8" ht="15.75" x14ac:dyDescent="0.25">
      <c r="A144" s="130"/>
      <c r="B144" s="131">
        <f>DATE(2019,10,1)</f>
        <v>43739</v>
      </c>
      <c r="C144" s="204">
        <v>514035</v>
      </c>
      <c r="D144" s="204">
        <v>159975</v>
      </c>
      <c r="E144" s="204">
        <v>142213.5</v>
      </c>
      <c r="F144" s="132">
        <f t="shared" si="24"/>
        <v>0.12489320634117014</v>
      </c>
      <c r="G144" s="215">
        <f t="shared" si="25"/>
        <v>0.31121421693075374</v>
      </c>
      <c r="H144" s="123"/>
    </row>
    <row r="145" spans="1:8" ht="15.75" x14ac:dyDescent="0.25">
      <c r="A145" s="130"/>
      <c r="B145" s="131">
        <f>DATE(2019,11,1)</f>
        <v>43770</v>
      </c>
      <c r="C145" s="204">
        <v>627782</v>
      </c>
      <c r="D145" s="204">
        <v>185433.5</v>
      </c>
      <c r="E145" s="204">
        <v>170858.5</v>
      </c>
      <c r="F145" s="132">
        <f t="shared" si="24"/>
        <v>8.5304506360526403E-2</v>
      </c>
      <c r="G145" s="215">
        <f t="shared" si="25"/>
        <v>0.29537880984163295</v>
      </c>
      <c r="H145" s="123"/>
    </row>
    <row r="146" spans="1:8" ht="15.75" x14ac:dyDescent="0.25">
      <c r="A146" s="130"/>
      <c r="B146" s="131">
        <f>DATE(2019,12,1)</f>
        <v>43800</v>
      </c>
      <c r="C146" s="204">
        <v>733505</v>
      </c>
      <c r="D146" s="204">
        <v>198005</v>
      </c>
      <c r="E146" s="204">
        <v>191894</v>
      </c>
      <c r="F146" s="132">
        <f t="shared" si="24"/>
        <v>3.1845706483787928E-2</v>
      </c>
      <c r="G146" s="215">
        <f t="shared" si="25"/>
        <v>0.26994362683280959</v>
      </c>
      <c r="H146" s="123"/>
    </row>
    <row r="147" spans="1:8" ht="15.75" x14ac:dyDescent="0.25">
      <c r="A147" s="130"/>
      <c r="B147" s="131">
        <f>DATE(2020,1,1)</f>
        <v>43831</v>
      </c>
      <c r="C147" s="204">
        <v>714996</v>
      </c>
      <c r="D147" s="204">
        <v>233910.5</v>
      </c>
      <c r="E147" s="204">
        <v>225159.5</v>
      </c>
      <c r="F147" s="132">
        <f t="shared" si="24"/>
        <v>3.8865781812448506E-2</v>
      </c>
      <c r="G147" s="215">
        <f t="shared" si="25"/>
        <v>0.32714938265388899</v>
      </c>
      <c r="H147" s="123"/>
    </row>
    <row r="148" spans="1:8" ht="15.75" x14ac:dyDescent="0.25">
      <c r="A148" s="130"/>
      <c r="B148" s="131">
        <f>DATE(2020,2,1)</f>
        <v>43862</v>
      </c>
      <c r="C148" s="204">
        <v>709120</v>
      </c>
      <c r="D148" s="204">
        <v>194088.5</v>
      </c>
      <c r="E148" s="204">
        <v>203977</v>
      </c>
      <c r="F148" s="132">
        <f t="shared" si="24"/>
        <v>-4.8478504929477341E-2</v>
      </c>
      <c r="G148" s="215">
        <f t="shared" si="25"/>
        <v>0.27370332242779782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35" t="s">
        <v>14</v>
      </c>
      <c r="B150" s="136"/>
      <c r="C150" s="201">
        <f>SUM(C141:C149)</f>
        <v>5193173</v>
      </c>
      <c r="D150" s="207">
        <f>SUM(D141:D149)</f>
        <v>1489455.5</v>
      </c>
      <c r="E150" s="207">
        <f>SUM(E141:E149)</f>
        <v>1491719.5</v>
      </c>
      <c r="F150" s="143">
        <f>(+D150-E150)/E150</f>
        <v>-1.5177116073095511E-3</v>
      </c>
      <c r="G150" s="217">
        <f>D150/C150</f>
        <v>0.28681029882886627</v>
      </c>
      <c r="H150" s="123"/>
    </row>
    <row r="151" spans="1:8" ht="16.5" thickTop="1" thickBot="1" x14ac:dyDescent="0.25">
      <c r="A151" s="146"/>
      <c r="B151" s="139"/>
      <c r="C151" s="205"/>
      <c r="D151" s="205"/>
      <c r="E151" s="205"/>
      <c r="F151" s="140"/>
      <c r="G151" s="216"/>
      <c r="H151" s="123"/>
    </row>
    <row r="152" spans="1:8" ht="17.25" thickTop="1" thickBot="1" x14ac:dyDescent="0.3">
      <c r="A152" s="147" t="s">
        <v>41</v>
      </c>
      <c r="B152" s="121"/>
      <c r="C152" s="201">
        <f>C150+C139+C106+C84+C62+C40+C18+C51+C128+C29+C95+C117+C73</f>
        <v>828634881</v>
      </c>
      <c r="D152" s="201">
        <f>D150+D139+D106+D84+D62+D40+D18+D51+D128+D29+D95+D117+D73</f>
        <v>170793843.47</v>
      </c>
      <c r="E152" s="201">
        <f>E150+E139+E106+E84+E62+E40+E18+E51+E128+E29+E95+E117+E73</f>
        <v>171261520.59999996</v>
      </c>
      <c r="F152" s="137">
        <f>(+D152-E152)/E152</f>
        <v>-2.7307776338870455E-3</v>
      </c>
      <c r="G152" s="212">
        <f>D152/C152</f>
        <v>0.20611471636806464</v>
      </c>
      <c r="H152" s="123"/>
    </row>
    <row r="153" spans="1:8" ht="17.25" thickTop="1" thickBot="1" x14ac:dyDescent="0.3">
      <c r="A153" s="147"/>
      <c r="B153" s="121"/>
      <c r="C153" s="201"/>
      <c r="D153" s="201"/>
      <c r="E153" s="201"/>
      <c r="F153" s="137"/>
      <c r="G153" s="212"/>
      <c r="H153" s="123"/>
    </row>
    <row r="154" spans="1:8" ht="17.25" thickTop="1" thickBot="1" x14ac:dyDescent="0.3">
      <c r="A154" s="265" t="s">
        <v>42</v>
      </c>
      <c r="B154" s="266"/>
      <c r="C154" s="206">
        <f>SUM(C16+C27+C38+C49+C60+C71+C82+C93+C104+C115+C126+C137+C148)</f>
        <v>104774075.75</v>
      </c>
      <c r="D154" s="206">
        <f>SUM(D16+D27+D38+D49+D60+D71+D82+D93+D104+D115+D126+D137+D148)</f>
        <v>21563889.489999995</v>
      </c>
      <c r="E154" s="206">
        <f>SUM(E16+E27+E38+E49+E60+E71+E82+E93+E104+E115+E126+E137+E148)</f>
        <v>20312489.16</v>
      </c>
      <c r="F154" s="143">
        <f>(+D154-E154)/E154</f>
        <v>6.1607433739056063E-2</v>
      </c>
      <c r="G154" s="217">
        <f>D154/C154</f>
        <v>0.20581321606170308</v>
      </c>
      <c r="H154" s="123"/>
    </row>
    <row r="155" spans="1:8" ht="16.5" thickTop="1" x14ac:dyDescent="0.25">
      <c r="A155" s="256"/>
      <c r="B155" s="258"/>
      <c r="C155" s="259"/>
      <c r="D155" s="259"/>
      <c r="E155" s="259"/>
      <c r="F155" s="260"/>
      <c r="G155" s="257"/>
      <c r="H155" s="257"/>
    </row>
    <row r="156" spans="1:8" ht="18.75" x14ac:dyDescent="0.3">
      <c r="A156" s="263" t="s">
        <v>43</v>
      </c>
      <c r="B156" s="117"/>
      <c r="C156" s="208"/>
      <c r="D156" s="208"/>
      <c r="E156" s="208"/>
      <c r="F156" s="148"/>
      <c r="G156" s="220"/>
    </row>
    <row r="157" spans="1:8" ht="15.75" x14ac:dyDescent="0.25">
      <c r="A157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9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149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2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 t="shared" ref="F10:F17" si="0">(+D10-E10)/E10</f>
        <v>7.3764105424421508E-2</v>
      </c>
      <c r="G10" s="241">
        <f t="shared" ref="G10:G17" si="1">D10/C10</f>
        <v>0.10230267841024551</v>
      </c>
      <c r="H10" s="242">
        <f t="shared" ref="H10:H17" si="2"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 t="shared" si="0"/>
        <v>3.0791669838631727E-2</v>
      </c>
      <c r="G11" s="241">
        <f t="shared" si="1"/>
        <v>9.9445371492567297E-2</v>
      </c>
      <c r="H11" s="242">
        <f t="shared" si="2"/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 t="shared" si="0"/>
        <v>-3.5656552450291749E-2</v>
      </c>
      <c r="G12" s="241">
        <f t="shared" si="1"/>
        <v>9.7466909082197364E-2</v>
      </c>
      <c r="H12" s="242">
        <f t="shared" si="2"/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 t="shared" si="0"/>
        <v>-2.0125620369502901E-2</v>
      </c>
      <c r="G13" s="241">
        <f t="shared" si="1"/>
        <v>9.9551296287231278E-2</v>
      </c>
      <c r="H13" s="242">
        <f t="shared" si="2"/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 t="shared" si="0"/>
        <v>8.4500163706584391E-2</v>
      </c>
      <c r="G14" s="241">
        <f t="shared" si="1"/>
        <v>0.10073251496404927</v>
      </c>
      <c r="H14" s="242">
        <f t="shared" si="2"/>
        <v>0.89926748503595078</v>
      </c>
      <c r="I14" s="157"/>
    </row>
    <row r="15" spans="1:9" ht="15.75" x14ac:dyDescent="0.25">
      <c r="A15" s="164"/>
      <c r="B15" s="165">
        <f>DATE(19,12,1)</f>
        <v>7275</v>
      </c>
      <c r="C15" s="226">
        <v>127073341.54000001</v>
      </c>
      <c r="D15" s="226">
        <v>12792439.390000001</v>
      </c>
      <c r="E15" s="226">
        <v>12753886.49</v>
      </c>
      <c r="F15" s="166">
        <f t="shared" si="0"/>
        <v>3.0228354337502317E-3</v>
      </c>
      <c r="G15" s="241">
        <f t="shared" si="1"/>
        <v>0.10066973320264196</v>
      </c>
      <c r="H15" s="242">
        <f t="shared" si="2"/>
        <v>0.89933026679735806</v>
      </c>
      <c r="I15" s="157"/>
    </row>
    <row r="16" spans="1:9" ht="15.75" x14ac:dyDescent="0.25">
      <c r="A16" s="164"/>
      <c r="B16" s="165">
        <f>DATE(20,1,1)</f>
        <v>7306</v>
      </c>
      <c r="C16" s="226">
        <v>112289386.34</v>
      </c>
      <c r="D16" s="226">
        <v>10714900.529999999</v>
      </c>
      <c r="E16" s="226">
        <v>10438169.560000001</v>
      </c>
      <c r="F16" s="166">
        <f t="shared" si="0"/>
        <v>2.6511446131365468E-2</v>
      </c>
      <c r="G16" s="241">
        <f t="shared" si="1"/>
        <v>9.5422202215590085E-2</v>
      </c>
      <c r="H16" s="242">
        <f t="shared" si="2"/>
        <v>0.90457779778440994</v>
      </c>
      <c r="I16" s="157"/>
    </row>
    <row r="17" spans="1:9" ht="15.75" x14ac:dyDescent="0.25">
      <c r="A17" s="164"/>
      <c r="B17" s="165">
        <f>DATE(20,2,1)</f>
        <v>7337</v>
      </c>
      <c r="C17" s="226">
        <v>120790140.87</v>
      </c>
      <c r="D17" s="226">
        <v>11908211.5</v>
      </c>
      <c r="E17" s="226">
        <v>10577892.76</v>
      </c>
      <c r="F17" s="166">
        <f t="shared" si="0"/>
        <v>0.12576406002437107</v>
      </c>
      <c r="G17" s="241">
        <f t="shared" si="1"/>
        <v>9.8585955892014188E-2</v>
      </c>
      <c r="H17" s="242">
        <f t="shared" si="2"/>
        <v>0.90141404410798587</v>
      </c>
      <c r="I17" s="157"/>
    </row>
    <row r="18" spans="1:9" ht="15.75" thickBot="1" x14ac:dyDescent="0.25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7.25" thickTop="1" thickBot="1" x14ac:dyDescent="0.3">
      <c r="A19" s="169" t="s">
        <v>14</v>
      </c>
      <c r="B19" s="155"/>
      <c r="C19" s="223">
        <f>SUM(C10:C18)</f>
        <v>959876350.57000005</v>
      </c>
      <c r="D19" s="223">
        <f>SUM(D10:D18)</f>
        <v>95345991.370000005</v>
      </c>
      <c r="E19" s="223">
        <f>SUM(E10:E18)</f>
        <v>92160333.860000014</v>
      </c>
      <c r="F19" s="170">
        <f>(+D19-E19)/E19</f>
        <v>3.4566471024717597E-2</v>
      </c>
      <c r="G19" s="236">
        <f>D19/C19</f>
        <v>9.9331535060095011E-2</v>
      </c>
      <c r="H19" s="237">
        <f>1-G19</f>
        <v>0.90066846493990504</v>
      </c>
      <c r="I19" s="157"/>
    </row>
    <row r="20" spans="1:9" ht="15.75" thickTop="1" x14ac:dyDescent="0.2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.75" x14ac:dyDescent="0.25">
      <c r="A21" s="19" t="s">
        <v>51</v>
      </c>
      <c r="B21" s="165">
        <f>DATE(19,7,1)</f>
        <v>7122</v>
      </c>
      <c r="C21" s="226">
        <v>61310653.93</v>
      </c>
      <c r="D21" s="226">
        <v>6237251.8300000001</v>
      </c>
      <c r="E21" s="226">
        <v>6830347.7599999998</v>
      </c>
      <c r="F21" s="166">
        <f t="shared" ref="F21:F28" si="3">(+D21-E21)/E21</f>
        <v>-8.6832464588889352E-2</v>
      </c>
      <c r="G21" s="241">
        <f t="shared" ref="G21:G28" si="4">D21/C21</f>
        <v>0.10173194102808357</v>
      </c>
      <c r="H21" s="242">
        <f t="shared" ref="H21:H28" si="5">1-G21</f>
        <v>0.89826805897191642</v>
      </c>
      <c r="I21" s="157"/>
    </row>
    <row r="22" spans="1:9" ht="15.75" x14ac:dyDescent="0.25">
      <c r="A22" s="19"/>
      <c r="B22" s="165">
        <f>DATE(19,8,1)</f>
        <v>7153</v>
      </c>
      <c r="C22" s="226">
        <v>61567378.380000003</v>
      </c>
      <c r="D22" s="226">
        <v>6248302.3499999996</v>
      </c>
      <c r="E22" s="226">
        <v>6442436.2599999998</v>
      </c>
      <c r="F22" s="166">
        <f t="shared" si="3"/>
        <v>-3.0133617495813635E-2</v>
      </c>
      <c r="G22" s="241">
        <f t="shared" si="4"/>
        <v>0.10148722447518967</v>
      </c>
      <c r="H22" s="242">
        <f t="shared" si="5"/>
        <v>0.89851277552481035</v>
      </c>
      <c r="I22" s="157"/>
    </row>
    <row r="23" spans="1:9" ht="15.75" x14ac:dyDescent="0.25">
      <c r="A23" s="19"/>
      <c r="B23" s="165">
        <f>DATE(19,9,1)</f>
        <v>7184</v>
      </c>
      <c r="C23" s="226">
        <v>56369402.539999999</v>
      </c>
      <c r="D23" s="226">
        <v>5841517.5999999996</v>
      </c>
      <c r="E23" s="226">
        <v>6263081.7199999997</v>
      </c>
      <c r="F23" s="166">
        <f t="shared" si="3"/>
        <v>-6.7309375615172418E-2</v>
      </c>
      <c r="G23" s="241">
        <f t="shared" si="4"/>
        <v>0.10362922679293665</v>
      </c>
      <c r="H23" s="242">
        <f t="shared" si="5"/>
        <v>0.89637077320706338</v>
      </c>
      <c r="I23" s="157"/>
    </row>
    <row r="24" spans="1:9" ht="15.75" x14ac:dyDescent="0.25">
      <c r="A24" s="19"/>
      <c r="B24" s="165">
        <f>DATE(19,10,1)</f>
        <v>7214</v>
      </c>
      <c r="C24" s="226">
        <v>54504425.119999997</v>
      </c>
      <c r="D24" s="226">
        <v>5457854.2400000002</v>
      </c>
      <c r="E24" s="226">
        <v>5583864.3700000001</v>
      </c>
      <c r="F24" s="166">
        <f t="shared" si="3"/>
        <v>-2.2566832152479357E-2</v>
      </c>
      <c r="G24" s="241">
        <f t="shared" si="4"/>
        <v>0.10013598396797475</v>
      </c>
      <c r="H24" s="242">
        <f t="shared" si="5"/>
        <v>0.89986401603202526</v>
      </c>
      <c r="I24" s="157"/>
    </row>
    <row r="25" spans="1:9" ht="15.75" x14ac:dyDescent="0.25">
      <c r="A25" s="19"/>
      <c r="B25" s="165">
        <f>DATE(19,11,1)</f>
        <v>7245</v>
      </c>
      <c r="C25" s="226">
        <v>56168674.75</v>
      </c>
      <c r="D25" s="226">
        <v>5836194.6699999999</v>
      </c>
      <c r="E25" s="226">
        <v>5280741.6900000004</v>
      </c>
      <c r="F25" s="166">
        <f t="shared" si="3"/>
        <v>0.10518465257481653</v>
      </c>
      <c r="G25" s="241">
        <f t="shared" si="4"/>
        <v>0.1039047956174184</v>
      </c>
      <c r="H25" s="242">
        <f t="shared" si="5"/>
        <v>0.89609520438258161</v>
      </c>
      <c r="I25" s="157"/>
    </row>
    <row r="26" spans="1:9" ht="15.75" x14ac:dyDescent="0.25">
      <c r="A26" s="19"/>
      <c r="B26" s="165">
        <f>DATE(19,12,1)</f>
        <v>7275</v>
      </c>
      <c r="C26" s="226">
        <v>56403736.68</v>
      </c>
      <c r="D26" s="226">
        <v>5543658.9900000002</v>
      </c>
      <c r="E26" s="226">
        <v>6010123.4199999999</v>
      </c>
      <c r="F26" s="166">
        <f t="shared" si="3"/>
        <v>-7.761311996484753E-2</v>
      </c>
      <c r="G26" s="241">
        <f t="shared" si="4"/>
        <v>9.828531434807769E-2</v>
      </c>
      <c r="H26" s="242">
        <f t="shared" si="5"/>
        <v>0.90171468565192225</v>
      </c>
      <c r="I26" s="157"/>
    </row>
    <row r="27" spans="1:9" ht="15.75" x14ac:dyDescent="0.25">
      <c r="A27" s="19"/>
      <c r="B27" s="165">
        <f>DATE(20,1,1)</f>
        <v>7306</v>
      </c>
      <c r="C27" s="226">
        <v>50236716.439999998</v>
      </c>
      <c r="D27" s="226">
        <v>5017454.9000000004</v>
      </c>
      <c r="E27" s="226">
        <v>4663941.57</v>
      </c>
      <c r="F27" s="166">
        <f t="shared" si="3"/>
        <v>7.5797118101546032E-2</v>
      </c>
      <c r="G27" s="241">
        <f t="shared" si="4"/>
        <v>9.987625098850908E-2</v>
      </c>
      <c r="H27" s="242">
        <f t="shared" si="5"/>
        <v>0.90012374901149095</v>
      </c>
      <c r="I27" s="157"/>
    </row>
    <row r="28" spans="1:9" ht="15.75" x14ac:dyDescent="0.25">
      <c r="A28" s="19"/>
      <c r="B28" s="165">
        <f>DATE(20,2,1)</f>
        <v>7337</v>
      </c>
      <c r="C28" s="226">
        <v>59758040.100000001</v>
      </c>
      <c r="D28" s="226">
        <v>6113250.3200000003</v>
      </c>
      <c r="E28" s="226">
        <v>5430626.4699999997</v>
      </c>
      <c r="F28" s="166">
        <f t="shared" si="3"/>
        <v>0.12569891407022155</v>
      </c>
      <c r="G28" s="241">
        <f t="shared" si="4"/>
        <v>0.10230004715298553</v>
      </c>
      <c r="H28" s="242">
        <f t="shared" si="5"/>
        <v>0.89769995284701443</v>
      </c>
      <c r="I28" s="157"/>
    </row>
    <row r="29" spans="1:9" ht="15.75" thickBot="1" x14ac:dyDescent="0.25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7.25" thickTop="1" thickBot="1" x14ac:dyDescent="0.3">
      <c r="A30" s="169" t="s">
        <v>14</v>
      </c>
      <c r="B30" s="155"/>
      <c r="C30" s="223">
        <f>SUM(C21:C29)</f>
        <v>456319027.94000006</v>
      </c>
      <c r="D30" s="223">
        <f>SUM(D21:D29)</f>
        <v>46295484.900000006</v>
      </c>
      <c r="E30" s="223">
        <f>SUM(E21:E29)</f>
        <v>46505163.259999998</v>
      </c>
      <c r="F30" s="170">
        <f>(+D30-E30)/E30</f>
        <v>-4.5087114053922782E-3</v>
      </c>
      <c r="G30" s="236">
        <f>D30/C30</f>
        <v>0.10145420652080994</v>
      </c>
      <c r="H30" s="237">
        <f>1-G30</f>
        <v>0.89854579347919006</v>
      </c>
      <c r="I30" s="157"/>
    </row>
    <row r="31" spans="1:9" ht="15.75" thickTop="1" x14ac:dyDescent="0.2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.75" x14ac:dyDescent="0.25">
      <c r="A32" s="19" t="s">
        <v>60</v>
      </c>
      <c r="B32" s="165">
        <f>DATE(19,7,1)</f>
        <v>7122</v>
      </c>
      <c r="C32" s="226">
        <v>27697147.809999999</v>
      </c>
      <c r="D32" s="226">
        <v>2967073.27</v>
      </c>
      <c r="E32" s="226">
        <v>2891699.85</v>
      </c>
      <c r="F32" s="166">
        <f t="shared" ref="F32:F39" si="6">(+D32-E32)/E32</f>
        <v>2.6065436909020804E-2</v>
      </c>
      <c r="G32" s="241">
        <f t="shared" ref="G32:G39" si="7">D32/C32</f>
        <v>0.10712558890012293</v>
      </c>
      <c r="H32" s="242">
        <f t="shared" ref="H32:H39" si="8">1-G32</f>
        <v>0.89287441109987709</v>
      </c>
      <c r="I32" s="157"/>
    </row>
    <row r="33" spans="1:9" ht="15.75" x14ac:dyDescent="0.25">
      <c r="A33" s="19"/>
      <c r="B33" s="165">
        <f>DATE(19,8,1)</f>
        <v>7153</v>
      </c>
      <c r="C33" s="226">
        <v>27431300.710000001</v>
      </c>
      <c r="D33" s="226">
        <v>2916117.84</v>
      </c>
      <c r="E33" s="226">
        <v>2785511.76</v>
      </c>
      <c r="F33" s="166">
        <f t="shared" si="6"/>
        <v>4.6887642649909363E-2</v>
      </c>
      <c r="G33" s="241">
        <f t="shared" si="7"/>
        <v>0.10630621824421682</v>
      </c>
      <c r="H33" s="242">
        <f t="shared" si="8"/>
        <v>0.89369378175578318</v>
      </c>
      <c r="I33" s="157"/>
    </row>
    <row r="34" spans="1:9" ht="15.75" x14ac:dyDescent="0.25">
      <c r="A34" s="19"/>
      <c r="B34" s="165">
        <f>DATE(19,9,1)</f>
        <v>7184</v>
      </c>
      <c r="C34" s="226">
        <v>27153283.5</v>
      </c>
      <c r="D34" s="226">
        <v>2810959.49</v>
      </c>
      <c r="E34" s="226">
        <v>2777720.64</v>
      </c>
      <c r="F34" s="166">
        <f t="shared" si="6"/>
        <v>1.1966232140608673E-2</v>
      </c>
      <c r="G34" s="241">
        <f t="shared" si="7"/>
        <v>0.10352189966270563</v>
      </c>
      <c r="H34" s="242">
        <f t="shared" si="8"/>
        <v>0.89647810033729436</v>
      </c>
      <c r="I34" s="157"/>
    </row>
    <row r="35" spans="1:9" ht="15.75" x14ac:dyDescent="0.25">
      <c r="A35" s="19"/>
      <c r="B35" s="165">
        <f>DATE(19,10,1)</f>
        <v>7214</v>
      </c>
      <c r="C35" s="226">
        <v>25839439.73</v>
      </c>
      <c r="D35" s="226">
        <v>2793135.18</v>
      </c>
      <c r="E35" s="226">
        <v>2633608.27</v>
      </c>
      <c r="F35" s="166">
        <f t="shared" si="6"/>
        <v>6.0573514982165573E-2</v>
      </c>
      <c r="G35" s="241">
        <f t="shared" si="7"/>
        <v>0.10809581048141403</v>
      </c>
      <c r="H35" s="242">
        <f t="shared" si="8"/>
        <v>0.89190418951858597</v>
      </c>
      <c r="I35" s="157"/>
    </row>
    <row r="36" spans="1:9" ht="15.75" x14ac:dyDescent="0.25">
      <c r="A36" s="19"/>
      <c r="B36" s="165">
        <f>DATE(19,11,1)</f>
        <v>7245</v>
      </c>
      <c r="C36" s="226">
        <v>26865495.899999999</v>
      </c>
      <c r="D36" s="226">
        <v>2801393.45</v>
      </c>
      <c r="E36" s="226">
        <v>2551021.5099999998</v>
      </c>
      <c r="F36" s="166">
        <f t="shared" si="6"/>
        <v>9.814575808888433E-2</v>
      </c>
      <c r="G36" s="241">
        <f t="shared" si="7"/>
        <v>0.10427477164119649</v>
      </c>
      <c r="H36" s="242">
        <f t="shared" si="8"/>
        <v>0.89572522835880353</v>
      </c>
      <c r="I36" s="157"/>
    </row>
    <row r="37" spans="1:9" ht="15.75" x14ac:dyDescent="0.25">
      <c r="A37" s="19"/>
      <c r="B37" s="165">
        <f>DATE(19,12,1)</f>
        <v>7275</v>
      </c>
      <c r="C37" s="226">
        <v>29175238.5</v>
      </c>
      <c r="D37" s="226">
        <v>3071223.19</v>
      </c>
      <c r="E37" s="226">
        <v>2786245.45</v>
      </c>
      <c r="F37" s="166">
        <f t="shared" si="6"/>
        <v>0.102280199327019</v>
      </c>
      <c r="G37" s="241">
        <f t="shared" si="7"/>
        <v>0.10526814339495459</v>
      </c>
      <c r="H37" s="242">
        <f t="shared" si="8"/>
        <v>0.89473185660504539</v>
      </c>
      <c r="I37" s="157"/>
    </row>
    <row r="38" spans="1:9" ht="15.75" x14ac:dyDescent="0.25">
      <c r="A38" s="19"/>
      <c r="B38" s="165">
        <f>DATE(20,1,1)</f>
        <v>7306</v>
      </c>
      <c r="C38" s="226">
        <v>27348468.940000001</v>
      </c>
      <c r="D38" s="226">
        <v>2879669.48</v>
      </c>
      <c r="E38" s="226">
        <v>2442891.35</v>
      </c>
      <c r="F38" s="166">
        <f t="shared" si="6"/>
        <v>0.1787955612516291</v>
      </c>
      <c r="G38" s="241">
        <f t="shared" si="7"/>
        <v>0.10529545497840216</v>
      </c>
      <c r="H38" s="242">
        <f t="shared" si="8"/>
        <v>0.8947045450215978</v>
      </c>
      <c r="I38" s="157"/>
    </row>
    <row r="39" spans="1:9" ht="15.75" x14ac:dyDescent="0.25">
      <c r="A39" s="19"/>
      <c r="B39" s="165">
        <f>DATE(20,2,1)</f>
        <v>7337</v>
      </c>
      <c r="C39" s="226">
        <v>29410469.309999999</v>
      </c>
      <c r="D39" s="226">
        <v>3109782.67</v>
      </c>
      <c r="E39" s="226">
        <v>2630594.64</v>
      </c>
      <c r="F39" s="166">
        <f t="shared" si="6"/>
        <v>0.18215958578855759</v>
      </c>
      <c r="G39" s="241">
        <f t="shared" si="7"/>
        <v>0.10573726781512553</v>
      </c>
      <c r="H39" s="242">
        <f t="shared" si="8"/>
        <v>0.89426273218487451</v>
      </c>
      <c r="I39" s="157"/>
    </row>
    <row r="40" spans="1:9" ht="15.75" thickBot="1" x14ac:dyDescent="0.25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7.25" thickTop="1" thickBot="1" x14ac:dyDescent="0.3">
      <c r="A41" s="174" t="s">
        <v>14</v>
      </c>
      <c r="B41" s="175"/>
      <c r="C41" s="228">
        <f>SUM(C32:C40)</f>
        <v>220920844.40000001</v>
      </c>
      <c r="D41" s="228">
        <f>SUM(D32:D40)</f>
        <v>23349354.57</v>
      </c>
      <c r="E41" s="228">
        <f>SUM(E32:E40)</f>
        <v>21499293.470000003</v>
      </c>
      <c r="F41" s="176">
        <f>(+D41-E41)/E41</f>
        <v>8.6052181323147334E-2</v>
      </c>
      <c r="G41" s="245">
        <f>D41/C41</f>
        <v>0.10569104347493613</v>
      </c>
      <c r="H41" s="246">
        <f>1-G41</f>
        <v>0.89430895652506393</v>
      </c>
      <c r="I41" s="157"/>
    </row>
    <row r="42" spans="1:9" ht="15.75" thickTop="1" x14ac:dyDescent="0.2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.75" x14ac:dyDescent="0.25">
      <c r="A43" s="177" t="s">
        <v>65</v>
      </c>
      <c r="B43" s="165">
        <f>DATE(19,7,1)</f>
        <v>7122</v>
      </c>
      <c r="C43" s="226">
        <v>184825387.59999999</v>
      </c>
      <c r="D43" s="226">
        <v>17279710.350000001</v>
      </c>
      <c r="E43" s="226">
        <v>17539246.18</v>
      </c>
      <c r="F43" s="166">
        <f t="shared" ref="F43:F50" si="9">(+D43-E43)/E43</f>
        <v>-1.4797433557660356E-2</v>
      </c>
      <c r="G43" s="241">
        <f t="shared" ref="G43:G50" si="10">D43/C43</f>
        <v>9.3492082307419996E-2</v>
      </c>
      <c r="H43" s="242">
        <f t="shared" ref="H43:H50" si="11">1-G43</f>
        <v>0.90650791769257999</v>
      </c>
      <c r="I43" s="157"/>
    </row>
    <row r="44" spans="1:9" ht="15.75" x14ac:dyDescent="0.25">
      <c r="A44" s="177"/>
      <c r="B44" s="165">
        <f>DATE(19,8,1)</f>
        <v>7153</v>
      </c>
      <c r="C44" s="226">
        <v>191102191.72</v>
      </c>
      <c r="D44" s="226">
        <v>17467037.460000001</v>
      </c>
      <c r="E44" s="226">
        <v>17390823.879999999</v>
      </c>
      <c r="F44" s="166">
        <f t="shared" si="9"/>
        <v>4.3824019221797754E-3</v>
      </c>
      <c r="G44" s="241">
        <f t="shared" si="10"/>
        <v>9.1401554858106679E-2</v>
      </c>
      <c r="H44" s="242">
        <f t="shared" si="11"/>
        <v>0.90859844514189336</v>
      </c>
      <c r="I44" s="157"/>
    </row>
    <row r="45" spans="1:9" ht="15.75" x14ac:dyDescent="0.25">
      <c r="A45" s="177"/>
      <c r="B45" s="165">
        <f>DATE(19,9,1)</f>
        <v>7184</v>
      </c>
      <c r="C45" s="226">
        <v>174203675.16999999</v>
      </c>
      <c r="D45" s="226">
        <v>16156127.949999999</v>
      </c>
      <c r="E45" s="226">
        <v>16350217.75</v>
      </c>
      <c r="F45" s="166">
        <f t="shared" si="9"/>
        <v>-1.1870777684291131E-2</v>
      </c>
      <c r="G45" s="241">
        <f t="shared" si="10"/>
        <v>9.2742750313583991E-2</v>
      </c>
      <c r="H45" s="242">
        <f t="shared" si="11"/>
        <v>0.90725724968641597</v>
      </c>
      <c r="I45" s="157"/>
    </row>
    <row r="46" spans="1:9" ht="15.75" x14ac:dyDescent="0.25">
      <c r="A46" s="177"/>
      <c r="B46" s="165">
        <f>DATE(19,10,1)</f>
        <v>7214</v>
      </c>
      <c r="C46" s="226">
        <v>179895954.49000001</v>
      </c>
      <c r="D46" s="226">
        <v>15798088.050000001</v>
      </c>
      <c r="E46" s="226">
        <v>15575678.630000001</v>
      </c>
      <c r="F46" s="166">
        <f t="shared" si="9"/>
        <v>1.4279276382322219E-2</v>
      </c>
      <c r="G46" s="241">
        <f t="shared" si="10"/>
        <v>8.7817917277723881E-2</v>
      </c>
      <c r="H46" s="242">
        <f t="shared" si="11"/>
        <v>0.91218208272227608</v>
      </c>
      <c r="I46" s="157"/>
    </row>
    <row r="47" spans="1:9" ht="15.75" x14ac:dyDescent="0.25">
      <c r="A47" s="177"/>
      <c r="B47" s="165">
        <f>DATE(19,11,1)</f>
        <v>7245</v>
      </c>
      <c r="C47" s="226">
        <v>183677518.47999999</v>
      </c>
      <c r="D47" s="226">
        <v>16997575.629999999</v>
      </c>
      <c r="E47" s="226">
        <v>14866628.689999999</v>
      </c>
      <c r="F47" s="166">
        <f t="shared" si="9"/>
        <v>0.1433376042702523</v>
      </c>
      <c r="G47" s="241">
        <f t="shared" si="10"/>
        <v>9.2540316151161456E-2</v>
      </c>
      <c r="H47" s="242">
        <f t="shared" si="11"/>
        <v>0.90745968384883857</v>
      </c>
      <c r="I47" s="157"/>
    </row>
    <row r="48" spans="1:9" ht="15.75" x14ac:dyDescent="0.25">
      <c r="A48" s="177"/>
      <c r="B48" s="165">
        <f>DATE(19,12,1)</f>
        <v>7275</v>
      </c>
      <c r="C48" s="226">
        <v>181160265.94999999</v>
      </c>
      <c r="D48" s="226">
        <v>16683119.9</v>
      </c>
      <c r="E48" s="226">
        <v>16436113.140000001</v>
      </c>
      <c r="F48" s="166">
        <f t="shared" si="9"/>
        <v>1.5028295187313353E-2</v>
      </c>
      <c r="G48" s="241">
        <f t="shared" si="10"/>
        <v>9.2090391965998331E-2</v>
      </c>
      <c r="H48" s="242">
        <f t="shared" si="11"/>
        <v>0.90790960803400167</v>
      </c>
      <c r="I48" s="157"/>
    </row>
    <row r="49" spans="1:9" ht="15.75" x14ac:dyDescent="0.25">
      <c r="A49" s="177"/>
      <c r="B49" s="165">
        <f>DATE(20,1,1)</f>
        <v>7306</v>
      </c>
      <c r="C49" s="226">
        <v>176836643.66999999</v>
      </c>
      <c r="D49" s="226">
        <v>16201519.720000001</v>
      </c>
      <c r="E49" s="226">
        <v>13439931.689999999</v>
      </c>
      <c r="F49" s="166">
        <f t="shared" si="9"/>
        <v>0.20547634420305608</v>
      </c>
      <c r="G49" s="241">
        <f t="shared" si="10"/>
        <v>9.1618566060517007E-2</v>
      </c>
      <c r="H49" s="242">
        <f t="shared" si="11"/>
        <v>0.90838143393948301</v>
      </c>
      <c r="I49" s="157"/>
    </row>
    <row r="50" spans="1:9" ht="15.75" x14ac:dyDescent="0.25">
      <c r="A50" s="177"/>
      <c r="B50" s="165">
        <f>DATE(20,2,1)</f>
        <v>7337</v>
      </c>
      <c r="C50" s="226">
        <v>186209419.06999999</v>
      </c>
      <c r="D50" s="226">
        <v>17277967.890000001</v>
      </c>
      <c r="E50" s="226">
        <v>15398690.67</v>
      </c>
      <c r="F50" s="166">
        <f t="shared" si="9"/>
        <v>0.1220413644428381</v>
      </c>
      <c r="G50" s="241">
        <f t="shared" si="10"/>
        <v>9.2787829833166774E-2</v>
      </c>
      <c r="H50" s="242">
        <f t="shared" si="11"/>
        <v>0.9072121701668332</v>
      </c>
      <c r="I50" s="157"/>
    </row>
    <row r="51" spans="1:9" ht="15.75" thickBot="1" x14ac:dyDescent="0.25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Top="1" thickBot="1" x14ac:dyDescent="0.3">
      <c r="A52" s="174" t="s">
        <v>14</v>
      </c>
      <c r="B52" s="178"/>
      <c r="C52" s="228">
        <f>SUM(C43:C51)</f>
        <v>1457911056.1500001</v>
      </c>
      <c r="D52" s="228">
        <f>SUM(D43:D51)</f>
        <v>133861146.95</v>
      </c>
      <c r="E52" s="228">
        <f>SUM(E43:E51)</f>
        <v>126997330.63000001</v>
      </c>
      <c r="F52" s="176">
        <f>(+D52-E52)/E52</f>
        <v>5.4046933789477496E-2</v>
      </c>
      <c r="G52" s="245">
        <f>D52/C52</f>
        <v>9.1817087459022215E-2</v>
      </c>
      <c r="H52" s="246">
        <f>1-G52</f>
        <v>0.90818291254097783</v>
      </c>
      <c r="I52" s="157"/>
    </row>
    <row r="53" spans="1:9" ht="15.75" thickTop="1" x14ac:dyDescent="0.2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 x14ac:dyDescent="0.25">
      <c r="A54" s="164" t="s">
        <v>16</v>
      </c>
      <c r="B54" s="165">
        <f>DATE(19,7,1)</f>
        <v>7122</v>
      </c>
      <c r="C54" s="226">
        <v>115325495.95</v>
      </c>
      <c r="D54" s="226">
        <v>11411946.24</v>
      </c>
      <c r="E54" s="226">
        <v>11381105.73</v>
      </c>
      <c r="F54" s="166">
        <f t="shared" ref="F54:F61" si="12">(+D54-E54)/E54</f>
        <v>2.7097990943626684E-3</v>
      </c>
      <c r="G54" s="241">
        <f t="shared" ref="G54:G61" si="13">D54/C54</f>
        <v>9.8954235106413171E-2</v>
      </c>
      <c r="H54" s="242">
        <f t="shared" ref="H54:H61" si="14">1-G54</f>
        <v>0.90104576489358679</v>
      </c>
      <c r="I54" s="157"/>
    </row>
    <row r="55" spans="1:9" ht="15.75" x14ac:dyDescent="0.25">
      <c r="A55" s="164"/>
      <c r="B55" s="165">
        <f>DATE(19,8,1)</f>
        <v>7153</v>
      </c>
      <c r="C55" s="226">
        <v>122607190.3</v>
      </c>
      <c r="D55" s="226">
        <v>12220877.76</v>
      </c>
      <c r="E55" s="226">
        <v>11018606.25</v>
      </c>
      <c r="F55" s="166">
        <f t="shared" si="12"/>
        <v>0.10911284809728089</v>
      </c>
      <c r="G55" s="241">
        <f t="shared" si="13"/>
        <v>9.967504948198784E-2</v>
      </c>
      <c r="H55" s="242">
        <f t="shared" si="14"/>
        <v>0.9003249505180122</v>
      </c>
      <c r="I55" s="157"/>
    </row>
    <row r="56" spans="1:9" ht="15.75" x14ac:dyDescent="0.25">
      <c r="A56" s="164"/>
      <c r="B56" s="165">
        <f>DATE(19,9,1)</f>
        <v>7184</v>
      </c>
      <c r="C56" s="226">
        <v>115423599.31</v>
      </c>
      <c r="D56" s="226">
        <v>11441576.98</v>
      </c>
      <c r="E56" s="226">
        <v>11865007.26</v>
      </c>
      <c r="F56" s="166">
        <f t="shared" si="12"/>
        <v>-3.5687317396550781E-2</v>
      </c>
      <c r="G56" s="241">
        <f t="shared" si="13"/>
        <v>9.9126842763503489E-2</v>
      </c>
      <c r="H56" s="242">
        <f t="shared" si="14"/>
        <v>0.90087315723649652</v>
      </c>
      <c r="I56" s="157"/>
    </row>
    <row r="57" spans="1:9" ht="15.75" x14ac:dyDescent="0.25">
      <c r="A57" s="164"/>
      <c r="B57" s="165">
        <f>DATE(19,10,1)</f>
        <v>7214</v>
      </c>
      <c r="C57" s="226">
        <v>115210524.88</v>
      </c>
      <c r="D57" s="226">
        <v>11451574.32</v>
      </c>
      <c r="E57" s="226">
        <v>11049162.109999999</v>
      </c>
      <c r="F57" s="166">
        <f t="shared" si="12"/>
        <v>3.6420156206758821E-2</v>
      </c>
      <c r="G57" s="241">
        <f t="shared" si="13"/>
        <v>9.9396945998880173E-2</v>
      </c>
      <c r="H57" s="242">
        <f t="shared" si="14"/>
        <v>0.90060305400111984</v>
      </c>
      <c r="I57" s="157"/>
    </row>
    <row r="58" spans="1:9" ht="15.75" x14ac:dyDescent="0.25">
      <c r="A58" s="164"/>
      <c r="B58" s="165">
        <f>DATE(19,11,1)</f>
        <v>7245</v>
      </c>
      <c r="C58" s="226">
        <v>117396631.88</v>
      </c>
      <c r="D58" s="226">
        <v>11824386.49</v>
      </c>
      <c r="E58" s="226">
        <v>10320144.720000001</v>
      </c>
      <c r="F58" s="166">
        <f t="shared" si="12"/>
        <v>0.1457578174349477</v>
      </c>
      <c r="G58" s="241">
        <f t="shared" si="13"/>
        <v>0.10072168426506992</v>
      </c>
      <c r="H58" s="242">
        <f t="shared" si="14"/>
        <v>0.89927831573493011</v>
      </c>
      <c r="I58" s="157"/>
    </row>
    <row r="59" spans="1:9" ht="15.75" x14ac:dyDescent="0.25">
      <c r="A59" s="164"/>
      <c r="B59" s="165">
        <f>DATE(19,12,1)</f>
        <v>7275</v>
      </c>
      <c r="C59" s="226">
        <v>119668211.7</v>
      </c>
      <c r="D59" s="226">
        <v>12045926.43</v>
      </c>
      <c r="E59" s="226">
        <v>11723908.33</v>
      </c>
      <c r="F59" s="166">
        <f t="shared" si="12"/>
        <v>2.7466787604948768E-2</v>
      </c>
      <c r="G59" s="241">
        <f t="shared" si="13"/>
        <v>0.10066103820618888</v>
      </c>
      <c r="H59" s="242">
        <f t="shared" si="14"/>
        <v>0.89933896179381112</v>
      </c>
      <c r="I59" s="157"/>
    </row>
    <row r="60" spans="1:9" ht="15.75" x14ac:dyDescent="0.25">
      <c r="A60" s="164"/>
      <c r="B60" s="165">
        <f>DATE(20,1,1)</f>
        <v>7306</v>
      </c>
      <c r="C60" s="226">
        <v>106828720.7</v>
      </c>
      <c r="D60" s="226">
        <v>10728742.130000001</v>
      </c>
      <c r="E60" s="226">
        <v>10040160.470000001</v>
      </c>
      <c r="F60" s="166">
        <f t="shared" si="12"/>
        <v>6.8582734514800056E-2</v>
      </c>
      <c r="G60" s="241">
        <f t="shared" si="13"/>
        <v>0.10042937947491494</v>
      </c>
      <c r="H60" s="242">
        <f t="shared" si="14"/>
        <v>0.89957062052508507</v>
      </c>
      <c r="I60" s="157"/>
    </row>
    <row r="61" spans="1:9" ht="15.75" x14ac:dyDescent="0.25">
      <c r="A61" s="164"/>
      <c r="B61" s="165">
        <f>DATE(20,2,1)</f>
        <v>7337</v>
      </c>
      <c r="C61" s="226">
        <v>120448648.70999999</v>
      </c>
      <c r="D61" s="226">
        <v>12303150.609999999</v>
      </c>
      <c r="E61" s="226">
        <v>9810144.6999999993</v>
      </c>
      <c r="F61" s="166">
        <f t="shared" si="12"/>
        <v>0.2541252944006015</v>
      </c>
      <c r="G61" s="241">
        <f t="shared" si="13"/>
        <v>0.10214436394070195</v>
      </c>
      <c r="H61" s="242">
        <f t="shared" si="14"/>
        <v>0.89785563605929808</v>
      </c>
      <c r="I61" s="157"/>
    </row>
    <row r="62" spans="1:9" ht="15.75" thickBot="1" x14ac:dyDescent="0.25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74" t="s">
        <v>14</v>
      </c>
      <c r="B63" s="175"/>
      <c r="C63" s="228">
        <f>SUM(C54:C62)</f>
        <v>932909023.43000007</v>
      </c>
      <c r="D63" s="230">
        <f>SUM(D54:D62)</f>
        <v>93428180.959999993</v>
      </c>
      <c r="E63" s="271">
        <f>SUM(E54:E62)</f>
        <v>87208239.570000008</v>
      </c>
      <c r="F63" s="272">
        <f>(+D63-E63)/E63</f>
        <v>7.1322863764580233E-2</v>
      </c>
      <c r="G63" s="249">
        <f>D63/C63</f>
        <v>0.10014715113001615</v>
      </c>
      <c r="H63" s="270">
        <f>1-G63</f>
        <v>0.89985284886998385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66</v>
      </c>
      <c r="B65" s="165">
        <f>DATE(19,7,1)</f>
        <v>7122</v>
      </c>
      <c r="C65" s="226">
        <v>39783172.600000001</v>
      </c>
      <c r="D65" s="226">
        <v>3906046.69</v>
      </c>
      <c r="E65" s="226">
        <v>4536017.05</v>
      </c>
      <c r="F65" s="166">
        <f t="shared" ref="F65:F72" si="15">(+D65-E65)/E65</f>
        <v>-0.13888183246577521</v>
      </c>
      <c r="G65" s="241">
        <f t="shared" ref="G65:G72" si="16">D65/C65</f>
        <v>9.8183388471134642E-2</v>
      </c>
      <c r="H65" s="242">
        <f t="shared" ref="H65:H72" si="17">1-G65</f>
        <v>0.90181661152886539</v>
      </c>
      <c r="I65" s="157"/>
    </row>
    <row r="66" spans="1:9" ht="15.75" x14ac:dyDescent="0.25">
      <c r="A66" s="164"/>
      <c r="B66" s="165">
        <f>DATE(19,8,1)</f>
        <v>7153</v>
      </c>
      <c r="C66" s="226">
        <v>43743175.450000003</v>
      </c>
      <c r="D66" s="226">
        <v>4670857.45</v>
      </c>
      <c r="E66" s="226">
        <v>4611969.17</v>
      </c>
      <c r="F66" s="166">
        <f t="shared" si="15"/>
        <v>1.2768576247876405E-2</v>
      </c>
      <c r="G66" s="241">
        <f t="shared" si="16"/>
        <v>0.1067791124432417</v>
      </c>
      <c r="H66" s="242">
        <f t="shared" si="17"/>
        <v>0.89322088755675833</v>
      </c>
      <c r="I66" s="157"/>
    </row>
    <row r="67" spans="1:9" ht="15.75" x14ac:dyDescent="0.25">
      <c r="A67" s="164"/>
      <c r="B67" s="165">
        <f>DATE(19,9,1)</f>
        <v>7184</v>
      </c>
      <c r="C67" s="226">
        <v>42075238.560000002</v>
      </c>
      <c r="D67" s="226">
        <v>4421418.32</v>
      </c>
      <c r="E67" s="226">
        <v>4472303.22</v>
      </c>
      <c r="F67" s="166">
        <f t="shared" si="15"/>
        <v>-1.1377783995602929E-2</v>
      </c>
      <c r="G67" s="241">
        <f t="shared" si="16"/>
        <v>0.10508361856807973</v>
      </c>
      <c r="H67" s="242">
        <f t="shared" si="17"/>
        <v>0.89491638143192032</v>
      </c>
      <c r="I67" s="157"/>
    </row>
    <row r="68" spans="1:9" ht="15.75" x14ac:dyDescent="0.25">
      <c r="A68" s="164"/>
      <c r="B68" s="165">
        <f>DATE(19,10,1)</f>
        <v>7214</v>
      </c>
      <c r="C68" s="226">
        <v>41772739.68</v>
      </c>
      <c r="D68" s="226">
        <v>4469558.96</v>
      </c>
      <c r="E68" s="226">
        <v>4257625.9400000004</v>
      </c>
      <c r="F68" s="166">
        <f t="shared" si="15"/>
        <v>4.9777275642960674E-2</v>
      </c>
      <c r="G68" s="241">
        <f t="shared" si="16"/>
        <v>0.10699702711000161</v>
      </c>
      <c r="H68" s="242">
        <f t="shared" si="17"/>
        <v>0.89300297288999841</v>
      </c>
      <c r="I68" s="157"/>
    </row>
    <row r="69" spans="1:9" ht="15.75" x14ac:dyDescent="0.25">
      <c r="A69" s="164"/>
      <c r="B69" s="165">
        <f>DATE(19,11,1)</f>
        <v>7245</v>
      </c>
      <c r="C69" s="226">
        <v>42815164.240000002</v>
      </c>
      <c r="D69" s="226">
        <v>4362721.83</v>
      </c>
      <c r="E69" s="226">
        <v>4366684.07</v>
      </c>
      <c r="F69" s="166">
        <f t="shared" si="15"/>
        <v>-9.0737958974902971E-4</v>
      </c>
      <c r="G69" s="241">
        <f t="shared" si="16"/>
        <v>0.10189665057793085</v>
      </c>
      <c r="H69" s="242">
        <f t="shared" si="17"/>
        <v>0.89810334942206915</v>
      </c>
      <c r="I69" s="157"/>
    </row>
    <row r="70" spans="1:9" ht="15.75" x14ac:dyDescent="0.25">
      <c r="A70" s="164"/>
      <c r="B70" s="165">
        <f>DATE(19,12,1)</f>
        <v>7275</v>
      </c>
      <c r="C70" s="226">
        <v>44549769.780000001</v>
      </c>
      <c r="D70" s="226">
        <v>4542091.8099999996</v>
      </c>
      <c r="E70" s="226">
        <v>4828790.12</v>
      </c>
      <c r="F70" s="166">
        <f t="shared" si="15"/>
        <v>-5.9372700588610487E-2</v>
      </c>
      <c r="G70" s="241">
        <f t="shared" si="16"/>
        <v>0.10195544965619796</v>
      </c>
      <c r="H70" s="242">
        <f t="shared" si="17"/>
        <v>0.89804455034380204</v>
      </c>
      <c r="I70" s="157"/>
    </row>
    <row r="71" spans="1:9" ht="15.75" x14ac:dyDescent="0.25">
      <c r="A71" s="164"/>
      <c r="B71" s="165">
        <f>DATE(20,1,1)</f>
        <v>7306</v>
      </c>
      <c r="C71" s="226">
        <v>41625555.549999997</v>
      </c>
      <c r="D71" s="226">
        <v>4236468.1100000003</v>
      </c>
      <c r="E71" s="226">
        <v>4076690.38</v>
      </c>
      <c r="F71" s="166">
        <f t="shared" si="15"/>
        <v>3.9193000965651079E-2</v>
      </c>
      <c r="G71" s="241">
        <f t="shared" si="16"/>
        <v>0.10177565329815762</v>
      </c>
      <c r="H71" s="242">
        <f t="shared" si="17"/>
        <v>0.89822434670184237</v>
      </c>
      <c r="I71" s="157"/>
    </row>
    <row r="72" spans="1:9" ht="15.75" x14ac:dyDescent="0.25">
      <c r="A72" s="164"/>
      <c r="B72" s="165">
        <f>DATE(20,2,1)</f>
        <v>7337</v>
      </c>
      <c r="C72" s="226">
        <v>49130192.359999999</v>
      </c>
      <c r="D72" s="226">
        <v>5084258.8</v>
      </c>
      <c r="E72" s="226">
        <v>4582840.96</v>
      </c>
      <c r="F72" s="166">
        <f t="shared" si="15"/>
        <v>0.10941200979402957</v>
      </c>
      <c r="G72" s="241">
        <f t="shared" si="16"/>
        <v>0.10348542425287585</v>
      </c>
      <c r="H72" s="242">
        <f t="shared" si="17"/>
        <v>0.89651457574712412</v>
      </c>
      <c r="I72" s="157"/>
    </row>
    <row r="73" spans="1:9" ht="15.75" thickBot="1" x14ac:dyDescent="0.25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74" t="s">
        <v>14</v>
      </c>
      <c r="B74" s="175"/>
      <c r="C74" s="228">
        <f>SUM(C65:C73)</f>
        <v>345495008.22000003</v>
      </c>
      <c r="D74" s="230">
        <f>SUM(D65:D73)</f>
        <v>35693421.969999999</v>
      </c>
      <c r="E74" s="271">
        <f>SUM(E65:E73)</f>
        <v>35732920.909999996</v>
      </c>
      <c r="F74" s="272">
        <f>(+D74-E74)/E74</f>
        <v>-1.1053935417001885E-3</v>
      </c>
      <c r="G74" s="249">
        <f>D74/C74</f>
        <v>0.10331096288161588</v>
      </c>
      <c r="H74" s="270">
        <f>1-G74</f>
        <v>0.8966890371183841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164" t="s">
        <v>17</v>
      </c>
      <c r="B76" s="165">
        <f>DATE(19,7,1)</f>
        <v>7122</v>
      </c>
      <c r="C76" s="226">
        <v>45458425.399999999</v>
      </c>
      <c r="D76" s="226">
        <v>4987956.2</v>
      </c>
      <c r="E76" s="226">
        <v>5381167.3099999996</v>
      </c>
      <c r="F76" s="166">
        <f t="shared" ref="F76:F83" si="18">(+D76-E76)/E76</f>
        <v>-7.3071712390224752E-2</v>
      </c>
      <c r="G76" s="241">
        <f t="shared" ref="G76:G83" si="19">D76/C76</f>
        <v>0.10972567034844986</v>
      </c>
      <c r="H76" s="242">
        <f t="shared" ref="H76:H83" si="20">1-G76</f>
        <v>0.89027432965155018</v>
      </c>
      <c r="I76" s="157"/>
    </row>
    <row r="77" spans="1:9" ht="15.75" x14ac:dyDescent="0.25">
      <c r="A77" s="164"/>
      <c r="B77" s="165">
        <f>DATE(19,8,1)</f>
        <v>7153</v>
      </c>
      <c r="C77" s="226">
        <v>47408888.340000004</v>
      </c>
      <c r="D77" s="226">
        <v>5297182</v>
      </c>
      <c r="E77" s="226">
        <v>5291596.82</v>
      </c>
      <c r="F77" s="166">
        <f t="shared" si="18"/>
        <v>1.0554810182986886E-3</v>
      </c>
      <c r="G77" s="241">
        <f t="shared" si="19"/>
        <v>0.1117339424204689</v>
      </c>
      <c r="H77" s="242">
        <f t="shared" si="20"/>
        <v>0.88826605757953114</v>
      </c>
      <c r="I77" s="157"/>
    </row>
    <row r="78" spans="1:9" ht="15.75" x14ac:dyDescent="0.25">
      <c r="A78" s="164"/>
      <c r="B78" s="165">
        <f>DATE(19,9,1)</f>
        <v>7184</v>
      </c>
      <c r="C78" s="226">
        <v>43078381.07</v>
      </c>
      <c r="D78" s="226">
        <v>4757922.75</v>
      </c>
      <c r="E78" s="226">
        <v>5027629.3</v>
      </c>
      <c r="F78" s="166">
        <f t="shared" si="18"/>
        <v>-5.3644875925915984E-2</v>
      </c>
      <c r="G78" s="241">
        <f t="shared" si="19"/>
        <v>0.11044803987105822</v>
      </c>
      <c r="H78" s="242">
        <f t="shared" si="20"/>
        <v>0.88955196012894178</v>
      </c>
      <c r="I78" s="157"/>
    </row>
    <row r="79" spans="1:9" ht="15.75" x14ac:dyDescent="0.25">
      <c r="A79" s="164"/>
      <c r="B79" s="165">
        <f>DATE(19,10,1)</f>
        <v>7214</v>
      </c>
      <c r="C79" s="226">
        <v>45559884.780000001</v>
      </c>
      <c r="D79" s="226">
        <v>5100767.21</v>
      </c>
      <c r="E79" s="226">
        <v>5016135.3</v>
      </c>
      <c r="F79" s="166">
        <f t="shared" si="18"/>
        <v>1.6871935252623697E-2</v>
      </c>
      <c r="G79" s="241">
        <f t="shared" si="19"/>
        <v>0.11195742119697256</v>
      </c>
      <c r="H79" s="242">
        <f t="shared" si="20"/>
        <v>0.88804257880302739</v>
      </c>
      <c r="I79" s="157"/>
    </row>
    <row r="80" spans="1:9" ht="15.75" x14ac:dyDescent="0.25">
      <c r="A80" s="164"/>
      <c r="B80" s="165">
        <f>DATE(19,11,1)</f>
        <v>7245</v>
      </c>
      <c r="C80" s="226">
        <v>45568371.520000003</v>
      </c>
      <c r="D80" s="226">
        <v>5049815.8600000003</v>
      </c>
      <c r="E80" s="226">
        <v>4899996.9800000004</v>
      </c>
      <c r="F80" s="166">
        <f t="shared" si="18"/>
        <v>3.0575300477021901E-2</v>
      </c>
      <c r="G80" s="241">
        <f t="shared" si="19"/>
        <v>0.11081844032507572</v>
      </c>
      <c r="H80" s="242">
        <f t="shared" si="20"/>
        <v>0.88918155967492429</v>
      </c>
      <c r="I80" s="157"/>
    </row>
    <row r="81" spans="1:9" ht="15.75" x14ac:dyDescent="0.25">
      <c r="A81" s="164"/>
      <c r="B81" s="165">
        <f>DATE(19,12,1)</f>
        <v>7275</v>
      </c>
      <c r="C81" s="226">
        <v>45369161.390000001</v>
      </c>
      <c r="D81" s="226">
        <v>5055651.33</v>
      </c>
      <c r="E81" s="226">
        <v>5247804.62</v>
      </c>
      <c r="F81" s="166">
        <f t="shared" si="18"/>
        <v>-3.6615938266390723E-2</v>
      </c>
      <c r="G81" s="241">
        <f t="shared" si="19"/>
        <v>0.11143365173847662</v>
      </c>
      <c r="H81" s="242">
        <f t="shared" si="20"/>
        <v>0.88856634826152336</v>
      </c>
      <c r="I81" s="157"/>
    </row>
    <row r="82" spans="1:9" ht="15.75" x14ac:dyDescent="0.25">
      <c r="A82" s="164"/>
      <c r="B82" s="165">
        <f>DATE(20,1,1)</f>
        <v>7306</v>
      </c>
      <c r="C82" s="226">
        <v>43113578.409999996</v>
      </c>
      <c r="D82" s="226">
        <v>4906027.53</v>
      </c>
      <c r="E82" s="226">
        <v>4473121.8099999996</v>
      </c>
      <c r="F82" s="166">
        <f t="shared" si="18"/>
        <v>9.6779327366450743E-2</v>
      </c>
      <c r="G82" s="241">
        <f t="shared" si="19"/>
        <v>0.11379309514382759</v>
      </c>
      <c r="H82" s="242">
        <f t="shared" si="20"/>
        <v>0.88620690485617237</v>
      </c>
      <c r="I82" s="157"/>
    </row>
    <row r="83" spans="1:9" ht="15.75" x14ac:dyDescent="0.25">
      <c r="A83" s="164"/>
      <c r="B83" s="165">
        <f>DATE(20,2,1)</f>
        <v>7337</v>
      </c>
      <c r="C83" s="226">
        <v>49276068.969999999</v>
      </c>
      <c r="D83" s="226">
        <v>5504597.8499999996</v>
      </c>
      <c r="E83" s="226">
        <v>4898275.7699999996</v>
      </c>
      <c r="F83" s="166">
        <f t="shared" si="18"/>
        <v>0.12378275713129155</v>
      </c>
      <c r="G83" s="241">
        <f t="shared" si="19"/>
        <v>0.11170935435923836</v>
      </c>
      <c r="H83" s="242">
        <f t="shared" si="20"/>
        <v>0.88829064564076166</v>
      </c>
      <c r="I83" s="157"/>
    </row>
    <row r="84" spans="1:9" ht="15.75" thickBot="1" x14ac:dyDescent="0.25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74" t="s">
        <v>14</v>
      </c>
      <c r="B85" s="175"/>
      <c r="C85" s="228">
        <f>SUM(C76:C84)</f>
        <v>364832759.88</v>
      </c>
      <c r="D85" s="230">
        <f>SUM(D76:D84)</f>
        <v>40659920.730000004</v>
      </c>
      <c r="E85" s="271">
        <f>SUM(E76:E84)</f>
        <v>40235727.909999996</v>
      </c>
      <c r="F85" s="272">
        <f>(+D85-E85)/E85</f>
        <v>1.0542690341003646E-2</v>
      </c>
      <c r="G85" s="249">
        <f>D85/C85</f>
        <v>0.11144810773948528</v>
      </c>
      <c r="H85" s="270">
        <f>1-G85</f>
        <v>0.88855189226051468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67</v>
      </c>
      <c r="B87" s="165">
        <f>DATE(19,7,1)</f>
        <v>7122</v>
      </c>
      <c r="C87" s="226">
        <v>108871593.48999999</v>
      </c>
      <c r="D87" s="226">
        <v>10859844.9</v>
      </c>
      <c r="E87" s="226">
        <v>11368416.640000001</v>
      </c>
      <c r="F87" s="166">
        <f t="shared" ref="F87:F94" si="21">(+D87-E87)/E87</f>
        <v>-4.4735494493628992E-2</v>
      </c>
      <c r="G87" s="241">
        <f t="shared" ref="G87:G94" si="22">D87/C87</f>
        <v>9.9749113169703835E-2</v>
      </c>
      <c r="H87" s="242">
        <f t="shared" ref="H87:H94" si="23">1-G87</f>
        <v>0.90025088683029619</v>
      </c>
      <c r="I87" s="157"/>
    </row>
    <row r="88" spans="1:9" ht="15.75" x14ac:dyDescent="0.25">
      <c r="A88" s="164"/>
      <c r="B88" s="165">
        <f>DATE(19,8,1)</f>
        <v>7153</v>
      </c>
      <c r="C88" s="226">
        <v>110085881.98999999</v>
      </c>
      <c r="D88" s="226">
        <v>10606265.73</v>
      </c>
      <c r="E88" s="226">
        <v>11900739.720000001</v>
      </c>
      <c r="F88" s="166">
        <f t="shared" si="21"/>
        <v>-0.10877256544183962</v>
      </c>
      <c r="G88" s="241">
        <f t="shared" si="22"/>
        <v>9.6345376339569633E-2</v>
      </c>
      <c r="H88" s="242">
        <f t="shared" si="23"/>
        <v>0.90365462366043037</v>
      </c>
      <c r="I88" s="157"/>
    </row>
    <row r="89" spans="1:9" ht="15.75" x14ac:dyDescent="0.25">
      <c r="A89" s="164"/>
      <c r="B89" s="165">
        <f>DATE(19,9,1)</f>
        <v>7184</v>
      </c>
      <c r="C89" s="226">
        <v>102382579.39</v>
      </c>
      <c r="D89" s="226">
        <v>10294221.539999999</v>
      </c>
      <c r="E89" s="226">
        <v>10737435.65</v>
      </c>
      <c r="F89" s="166">
        <f t="shared" si="21"/>
        <v>-4.1277463674485558E-2</v>
      </c>
      <c r="G89" s="241">
        <f t="shared" si="22"/>
        <v>0.10054661253245847</v>
      </c>
      <c r="H89" s="242">
        <f t="shared" si="23"/>
        <v>0.89945338746754155</v>
      </c>
      <c r="I89" s="157"/>
    </row>
    <row r="90" spans="1:9" ht="15.75" x14ac:dyDescent="0.25">
      <c r="A90" s="164"/>
      <c r="B90" s="165">
        <f>DATE(19,10,1)</f>
        <v>7214</v>
      </c>
      <c r="C90" s="226">
        <v>100553757.09</v>
      </c>
      <c r="D90" s="226">
        <v>9880729.3699999992</v>
      </c>
      <c r="E90" s="226">
        <v>10634805.060000001</v>
      </c>
      <c r="F90" s="166">
        <f t="shared" si="21"/>
        <v>-7.0906395156809895E-2</v>
      </c>
      <c r="G90" s="241">
        <f t="shared" si="22"/>
        <v>9.8263154515015438E-2</v>
      </c>
      <c r="H90" s="242">
        <f t="shared" si="23"/>
        <v>0.90173684548498456</v>
      </c>
      <c r="I90" s="157"/>
    </row>
    <row r="91" spans="1:9" ht="15.75" x14ac:dyDescent="0.25">
      <c r="A91" s="164"/>
      <c r="B91" s="165">
        <f>DATE(19,11,1)</f>
        <v>7245</v>
      </c>
      <c r="C91" s="226">
        <v>101636027.59</v>
      </c>
      <c r="D91" s="226">
        <v>10205648.99</v>
      </c>
      <c r="E91" s="226">
        <v>10364939.92</v>
      </c>
      <c r="F91" s="166">
        <f t="shared" si="21"/>
        <v>-1.5368244411396425E-2</v>
      </c>
      <c r="G91" s="241">
        <f t="shared" si="22"/>
        <v>0.10041369415941377</v>
      </c>
      <c r="H91" s="242">
        <f t="shared" si="23"/>
        <v>0.89958630584058619</v>
      </c>
      <c r="I91" s="157"/>
    </row>
    <row r="92" spans="1:9" ht="15.75" x14ac:dyDescent="0.25">
      <c r="A92" s="164"/>
      <c r="B92" s="165">
        <f>DATE(19,12,1)</f>
        <v>7275</v>
      </c>
      <c r="C92" s="226">
        <v>109465965.75</v>
      </c>
      <c r="D92" s="226">
        <v>10750579.369999999</v>
      </c>
      <c r="E92" s="226">
        <v>11597435.08</v>
      </c>
      <c r="F92" s="166">
        <f t="shared" si="21"/>
        <v>-7.3020948525111373E-2</v>
      </c>
      <c r="G92" s="241">
        <f t="shared" si="22"/>
        <v>9.8209331972207076E-2</v>
      </c>
      <c r="H92" s="242">
        <f t="shared" si="23"/>
        <v>0.90179066802779295</v>
      </c>
      <c r="I92" s="157"/>
    </row>
    <row r="93" spans="1:9" ht="15.75" x14ac:dyDescent="0.25">
      <c r="A93" s="164"/>
      <c r="B93" s="165">
        <f>DATE(20,1,1)</f>
        <v>7306</v>
      </c>
      <c r="C93" s="226">
        <v>105338022.19</v>
      </c>
      <c r="D93" s="226">
        <v>10353140.800000001</v>
      </c>
      <c r="E93" s="226">
        <v>9957126.1699999999</v>
      </c>
      <c r="F93" s="166">
        <f t="shared" si="21"/>
        <v>3.9771980713989567E-2</v>
      </c>
      <c r="G93" s="241">
        <f t="shared" si="22"/>
        <v>9.8284936291340871E-2</v>
      </c>
      <c r="H93" s="242">
        <f t="shared" si="23"/>
        <v>0.90171506370865917</v>
      </c>
      <c r="I93" s="157"/>
    </row>
    <row r="94" spans="1:9" ht="15.75" x14ac:dyDescent="0.25">
      <c r="A94" s="164"/>
      <c r="B94" s="165">
        <f>DATE(20,2,1)</f>
        <v>7337</v>
      </c>
      <c r="C94" s="226">
        <v>116937099.90000001</v>
      </c>
      <c r="D94" s="226">
        <v>11744098.83</v>
      </c>
      <c r="E94" s="226">
        <v>10422099.199999999</v>
      </c>
      <c r="F94" s="166">
        <f t="shared" si="21"/>
        <v>0.12684581144650792</v>
      </c>
      <c r="G94" s="241">
        <f t="shared" si="22"/>
        <v>0.10043090550426759</v>
      </c>
      <c r="H94" s="242">
        <f t="shared" si="23"/>
        <v>0.89956909449573241</v>
      </c>
      <c r="I94" s="157"/>
    </row>
    <row r="95" spans="1:9" ht="15.75" thickBot="1" x14ac:dyDescent="0.25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74" t="s">
        <v>14</v>
      </c>
      <c r="B96" s="175"/>
      <c r="C96" s="228">
        <f>SUM(C87:C95)</f>
        <v>855270927.38999999</v>
      </c>
      <c r="D96" s="230">
        <f>SUM(D87:D95)</f>
        <v>84694529.530000001</v>
      </c>
      <c r="E96" s="271">
        <f>SUM(E87:E95)</f>
        <v>86982997.439999998</v>
      </c>
      <c r="F96" s="176">
        <f>(+D96-E96)/E96</f>
        <v>-2.630937053621955E-2</v>
      </c>
      <c r="G96" s="249">
        <f>D96/C96</f>
        <v>9.902655032184865E-2</v>
      </c>
      <c r="H96" s="270">
        <f>1-G96</f>
        <v>0.90097344967815141</v>
      </c>
      <c r="I96" s="157"/>
    </row>
    <row r="97" spans="1:9" ht="15.75" thickTop="1" x14ac:dyDescent="0.2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.75" x14ac:dyDescent="0.25">
      <c r="A98" s="164" t="s">
        <v>18</v>
      </c>
      <c r="B98" s="165">
        <f>DATE(19,7,1)</f>
        <v>7122</v>
      </c>
      <c r="C98" s="226">
        <v>139620069.69</v>
      </c>
      <c r="D98" s="226">
        <v>13562944.539999999</v>
      </c>
      <c r="E98" s="226">
        <v>14899456.869999999</v>
      </c>
      <c r="F98" s="166">
        <f t="shared" ref="F98:F105" si="24">(+D98-E98)/E98</f>
        <v>-8.9702083885424222E-2</v>
      </c>
      <c r="G98" s="241">
        <f t="shared" ref="G98:G105" si="25">D98/C98</f>
        <v>9.714179752319245E-2</v>
      </c>
      <c r="H98" s="242">
        <f t="shared" ref="H98:H105" si="26">1-G98</f>
        <v>0.90285820247680759</v>
      </c>
      <c r="I98" s="157"/>
    </row>
    <row r="99" spans="1:9" ht="15.75" x14ac:dyDescent="0.25">
      <c r="A99" s="164"/>
      <c r="B99" s="165">
        <f>DATE(19,8,1)</f>
        <v>7153</v>
      </c>
      <c r="C99" s="226">
        <v>145301923.24000001</v>
      </c>
      <c r="D99" s="226">
        <v>13870661.279999999</v>
      </c>
      <c r="E99" s="226">
        <v>14829432.529999999</v>
      </c>
      <c r="F99" s="166">
        <f t="shared" si="24"/>
        <v>-6.465326627033112E-2</v>
      </c>
      <c r="G99" s="241">
        <f t="shared" si="25"/>
        <v>9.5460961360362501E-2</v>
      </c>
      <c r="H99" s="242">
        <f t="shared" si="26"/>
        <v>0.90453903863963747</v>
      </c>
      <c r="I99" s="157"/>
    </row>
    <row r="100" spans="1:9" ht="15.75" x14ac:dyDescent="0.25">
      <c r="A100" s="164"/>
      <c r="B100" s="165">
        <f>DATE(19,9,1)</f>
        <v>7184</v>
      </c>
      <c r="C100" s="226">
        <v>133117656.17</v>
      </c>
      <c r="D100" s="226">
        <v>12786419.43</v>
      </c>
      <c r="E100" s="226">
        <v>13962276.199999999</v>
      </c>
      <c r="F100" s="166">
        <f t="shared" si="24"/>
        <v>-8.4216695985429621E-2</v>
      </c>
      <c r="G100" s="241">
        <f t="shared" si="25"/>
        <v>9.6053519855179098E-2</v>
      </c>
      <c r="H100" s="242">
        <f t="shared" si="26"/>
        <v>0.90394648014482093</v>
      </c>
      <c r="I100" s="157"/>
    </row>
    <row r="101" spans="1:9" ht="15.75" x14ac:dyDescent="0.25">
      <c r="A101" s="164"/>
      <c r="B101" s="165">
        <f>DATE(19,10,1)</f>
        <v>7214</v>
      </c>
      <c r="C101" s="226">
        <v>141018208.87</v>
      </c>
      <c r="D101" s="226">
        <v>13251508.66</v>
      </c>
      <c r="E101" s="226">
        <v>13179828.550000001</v>
      </c>
      <c r="F101" s="166">
        <f t="shared" si="24"/>
        <v>5.4386223408042283E-3</v>
      </c>
      <c r="G101" s="241">
        <f t="shared" si="25"/>
        <v>9.3970195524296612E-2</v>
      </c>
      <c r="H101" s="242">
        <f t="shared" si="26"/>
        <v>0.90602980447570336</v>
      </c>
      <c r="I101" s="157"/>
    </row>
    <row r="102" spans="1:9" ht="15.75" x14ac:dyDescent="0.25">
      <c r="A102" s="164"/>
      <c r="B102" s="165">
        <f>DATE(19,11,1)</f>
        <v>7245</v>
      </c>
      <c r="C102" s="226">
        <v>143268625.12</v>
      </c>
      <c r="D102" s="226">
        <v>13769145.800000001</v>
      </c>
      <c r="E102" s="226">
        <v>12404366.57</v>
      </c>
      <c r="F102" s="166">
        <f t="shared" si="24"/>
        <v>0.11002409694185621</v>
      </c>
      <c r="G102" s="241">
        <f t="shared" si="25"/>
        <v>9.610719575529629E-2</v>
      </c>
      <c r="H102" s="242">
        <f t="shared" si="26"/>
        <v>0.90389280424470375</v>
      </c>
      <c r="I102" s="157"/>
    </row>
    <row r="103" spans="1:9" ht="15.75" x14ac:dyDescent="0.25">
      <c r="A103" s="164"/>
      <c r="B103" s="165">
        <f>DATE(19,12,1)</f>
        <v>7275</v>
      </c>
      <c r="C103" s="226">
        <v>148416907.90000001</v>
      </c>
      <c r="D103" s="226">
        <v>13980639.65</v>
      </c>
      <c r="E103" s="226">
        <v>14279714.560000001</v>
      </c>
      <c r="F103" s="166">
        <f t="shared" si="24"/>
        <v>-2.0944039794588174E-2</v>
      </c>
      <c r="G103" s="241">
        <f t="shared" si="25"/>
        <v>9.4198429598195396E-2</v>
      </c>
      <c r="H103" s="242">
        <f t="shared" si="26"/>
        <v>0.90580157040180465</v>
      </c>
      <c r="I103" s="157"/>
    </row>
    <row r="104" spans="1:9" ht="15.75" x14ac:dyDescent="0.25">
      <c r="A104" s="164"/>
      <c r="B104" s="165">
        <f>DATE(20,1,1)</f>
        <v>7306</v>
      </c>
      <c r="C104" s="226">
        <v>130743401.33</v>
      </c>
      <c r="D104" s="226">
        <v>12433682.390000001</v>
      </c>
      <c r="E104" s="226">
        <v>12070419.859999999</v>
      </c>
      <c r="F104" s="166">
        <f t="shared" si="24"/>
        <v>3.00952687821417E-2</v>
      </c>
      <c r="G104" s="241">
        <f t="shared" si="25"/>
        <v>9.5099884686471015E-2</v>
      </c>
      <c r="H104" s="242">
        <f t="shared" si="26"/>
        <v>0.90490011531352899</v>
      </c>
      <c r="I104" s="157"/>
    </row>
    <row r="105" spans="1:9" ht="15.75" x14ac:dyDescent="0.25">
      <c r="A105" s="164"/>
      <c r="B105" s="165">
        <f>DATE(20,2,1)</f>
        <v>7337</v>
      </c>
      <c r="C105" s="226">
        <v>147966898.25</v>
      </c>
      <c r="D105" s="226">
        <v>14388741.640000001</v>
      </c>
      <c r="E105" s="226">
        <v>12585263.32</v>
      </c>
      <c r="F105" s="166">
        <f t="shared" si="24"/>
        <v>0.14330080143289367</v>
      </c>
      <c r="G105" s="241">
        <f t="shared" si="25"/>
        <v>9.7242976707460987E-2</v>
      </c>
      <c r="H105" s="242">
        <f t="shared" si="26"/>
        <v>0.90275702329253904</v>
      </c>
      <c r="I105" s="157"/>
    </row>
    <row r="106" spans="1:9" ht="15.75" customHeight="1" thickBot="1" x14ac:dyDescent="0.3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74" t="s">
        <v>14</v>
      </c>
      <c r="B107" s="181"/>
      <c r="C107" s="228">
        <f>SUM(C98:C106)</f>
        <v>1129453690.5700002</v>
      </c>
      <c r="D107" s="228">
        <f>SUM(D98:D106)</f>
        <v>108043743.39</v>
      </c>
      <c r="E107" s="228">
        <f>SUM(E98:E106)</f>
        <v>108210758.46000001</v>
      </c>
      <c r="F107" s="176">
        <f>(+D107-E107)/E107</f>
        <v>-1.5434238921977863E-3</v>
      </c>
      <c r="G107" s="245">
        <f>D107/C107</f>
        <v>9.5660180042860976E-2</v>
      </c>
      <c r="H107" s="246">
        <f>1-G107</f>
        <v>0.90433981995713908</v>
      </c>
      <c r="I107" s="157"/>
    </row>
    <row r="108" spans="1:9" ht="15.75" thickTop="1" x14ac:dyDescent="0.2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.75" x14ac:dyDescent="0.25">
      <c r="A109" s="164" t="s">
        <v>58</v>
      </c>
      <c r="B109" s="165">
        <f>DATE(19,7,1)</f>
        <v>7122</v>
      </c>
      <c r="C109" s="226">
        <v>172895652.09999999</v>
      </c>
      <c r="D109" s="226">
        <v>16249508.9</v>
      </c>
      <c r="E109" s="226">
        <v>16699225.800000001</v>
      </c>
      <c r="F109" s="166">
        <f t="shared" ref="F109:F116" si="27">(+D109-E109)/E109</f>
        <v>-2.6930404162808574E-2</v>
      </c>
      <c r="G109" s="241">
        <f t="shared" ref="G109:G116" si="28">D109/C109</f>
        <v>9.3984485454854313E-2</v>
      </c>
      <c r="H109" s="242">
        <f t="shared" ref="H109:H116" si="29">1-G109</f>
        <v>0.90601551454514573</v>
      </c>
      <c r="I109" s="157"/>
    </row>
    <row r="110" spans="1:9" ht="15.75" x14ac:dyDescent="0.25">
      <c r="A110" s="164"/>
      <c r="B110" s="165">
        <f>DATE(19,8,1)</f>
        <v>7153</v>
      </c>
      <c r="C110" s="226">
        <v>180380059.75</v>
      </c>
      <c r="D110" s="226">
        <v>16871517.800000001</v>
      </c>
      <c r="E110" s="226">
        <v>16622760.619999999</v>
      </c>
      <c r="F110" s="166">
        <f t="shared" si="27"/>
        <v>1.4964853653773038E-2</v>
      </c>
      <c r="G110" s="241">
        <f t="shared" si="28"/>
        <v>9.3533164493809856E-2</v>
      </c>
      <c r="H110" s="242">
        <f t="shared" si="29"/>
        <v>0.90646683550619012</v>
      </c>
      <c r="I110" s="157"/>
    </row>
    <row r="111" spans="1:9" ht="15.75" x14ac:dyDescent="0.25">
      <c r="A111" s="164"/>
      <c r="B111" s="165">
        <f>DATE(19,9,1)</f>
        <v>7184</v>
      </c>
      <c r="C111" s="226">
        <v>169452200.19999999</v>
      </c>
      <c r="D111" s="226">
        <v>15944541.300000001</v>
      </c>
      <c r="E111" s="226">
        <v>16260476.050000001</v>
      </c>
      <c r="F111" s="166">
        <f t="shared" si="27"/>
        <v>-1.9429612578901096E-2</v>
      </c>
      <c r="G111" s="241">
        <f t="shared" si="28"/>
        <v>9.4094625393952261E-2</v>
      </c>
      <c r="H111" s="242">
        <f t="shared" si="29"/>
        <v>0.9059053746060477</v>
      </c>
      <c r="I111" s="157"/>
    </row>
    <row r="112" spans="1:9" ht="15.75" x14ac:dyDescent="0.25">
      <c r="A112" s="164"/>
      <c r="B112" s="165">
        <f>DATE(19,10,1)</f>
        <v>7214</v>
      </c>
      <c r="C112" s="226">
        <v>171753334.46000001</v>
      </c>
      <c r="D112" s="226">
        <v>16080736.01</v>
      </c>
      <c r="E112" s="226">
        <v>15649969.25</v>
      </c>
      <c r="F112" s="166">
        <f t="shared" si="27"/>
        <v>2.7525086670697439E-2</v>
      </c>
      <c r="G112" s="241">
        <f t="shared" si="28"/>
        <v>9.3626921774523544E-2</v>
      </c>
      <c r="H112" s="242">
        <f t="shared" si="29"/>
        <v>0.90637307822547641</v>
      </c>
      <c r="I112" s="157"/>
    </row>
    <row r="113" spans="1:9" ht="15.75" x14ac:dyDescent="0.25">
      <c r="A113" s="164"/>
      <c r="B113" s="165">
        <f>DATE(19,11,1)</f>
        <v>7245</v>
      </c>
      <c r="C113" s="226">
        <v>179944712.21000001</v>
      </c>
      <c r="D113" s="226">
        <v>17058482.91</v>
      </c>
      <c r="E113" s="226">
        <v>15252914.51</v>
      </c>
      <c r="F113" s="166">
        <f t="shared" si="27"/>
        <v>0.1183753045240139</v>
      </c>
      <c r="G113" s="241">
        <f t="shared" si="28"/>
        <v>9.4798467265280462E-2</v>
      </c>
      <c r="H113" s="242">
        <f t="shared" si="29"/>
        <v>0.90520153273471959</v>
      </c>
      <c r="I113" s="157"/>
    </row>
    <row r="114" spans="1:9" ht="15.75" x14ac:dyDescent="0.25">
      <c r="A114" s="164"/>
      <c r="B114" s="165">
        <f>DATE(19,12,1)</f>
        <v>7275</v>
      </c>
      <c r="C114" s="226">
        <v>179257574.59</v>
      </c>
      <c r="D114" s="226">
        <v>16970606.43</v>
      </c>
      <c r="E114" s="226">
        <v>17347128.27</v>
      </c>
      <c r="F114" s="166">
        <f t="shared" si="27"/>
        <v>-2.1705139556220037E-2</v>
      </c>
      <c r="G114" s="241">
        <f t="shared" si="28"/>
        <v>9.4671628068244071E-2</v>
      </c>
      <c r="H114" s="242">
        <f t="shared" si="29"/>
        <v>0.90532837193175597</v>
      </c>
      <c r="I114" s="157"/>
    </row>
    <row r="115" spans="1:9" ht="15.75" x14ac:dyDescent="0.25">
      <c r="A115" s="164"/>
      <c r="B115" s="165">
        <f>DATE(20,1,1)</f>
        <v>7306</v>
      </c>
      <c r="C115" s="226">
        <v>173290650.84999999</v>
      </c>
      <c r="D115" s="226">
        <v>16027792.039999999</v>
      </c>
      <c r="E115" s="226">
        <v>13808864.720000001</v>
      </c>
      <c r="F115" s="166">
        <f t="shared" si="27"/>
        <v>0.16068861307521001</v>
      </c>
      <c r="G115" s="241">
        <f t="shared" si="28"/>
        <v>9.2490806407517168E-2</v>
      </c>
      <c r="H115" s="242">
        <f t="shared" si="29"/>
        <v>0.90750919359248283</v>
      </c>
      <c r="I115" s="157"/>
    </row>
    <row r="116" spans="1:9" ht="15.75" x14ac:dyDescent="0.25">
      <c r="A116" s="164"/>
      <c r="B116" s="165">
        <f>DATE(20,2,1)</f>
        <v>7337</v>
      </c>
      <c r="C116" s="226">
        <v>182267872.56</v>
      </c>
      <c r="D116" s="226">
        <v>16606333.470000001</v>
      </c>
      <c r="E116" s="226">
        <v>14872520.16</v>
      </c>
      <c r="F116" s="166">
        <f t="shared" si="27"/>
        <v>0.11657831297906948</v>
      </c>
      <c r="G116" s="241">
        <f t="shared" si="28"/>
        <v>9.1109493059636337E-2</v>
      </c>
      <c r="H116" s="242">
        <f t="shared" si="29"/>
        <v>0.90889050694036366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74" t="s">
        <v>14</v>
      </c>
      <c r="B118" s="175"/>
      <c r="C118" s="228">
        <f>SUM(C109:C117)</f>
        <v>1409242056.72</v>
      </c>
      <c r="D118" s="228">
        <f>SUM(D109:D117)</f>
        <v>131809518.85999998</v>
      </c>
      <c r="E118" s="228">
        <f>SUM(E109:E117)</f>
        <v>126513859.38</v>
      </c>
      <c r="F118" s="176">
        <f>(+D118-E118)/E118</f>
        <v>4.1858334778119621E-2</v>
      </c>
      <c r="G118" s="249">
        <f>D118/C118</f>
        <v>9.3532206359768749E-2</v>
      </c>
      <c r="H118" s="270">
        <f>1-G118</f>
        <v>0.90646779364023122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59</v>
      </c>
      <c r="B120" s="165">
        <f>DATE(19,7,1)</f>
        <v>7122</v>
      </c>
      <c r="C120" s="226">
        <v>23534671.399999999</v>
      </c>
      <c r="D120" s="226">
        <v>2612988.94</v>
      </c>
      <c r="E120" s="226">
        <v>2665233.29</v>
      </c>
      <c r="F120" s="166">
        <f t="shared" ref="F120:F127" si="30">(+D120-E120)/E120</f>
        <v>-1.9602167733692121E-2</v>
      </c>
      <c r="G120" s="241">
        <f t="shared" ref="G120:G127" si="31">D120/C120</f>
        <v>0.11102721153778251</v>
      </c>
      <c r="H120" s="242">
        <f t="shared" ref="H120:H127" si="32">1-G120</f>
        <v>0.8889727884622175</v>
      </c>
      <c r="I120" s="157"/>
    </row>
    <row r="121" spans="1:9" ht="15.75" x14ac:dyDescent="0.25">
      <c r="A121" s="164"/>
      <c r="B121" s="165">
        <f>DATE(19,8,1)</f>
        <v>7153</v>
      </c>
      <c r="C121" s="226">
        <v>25945368.859999999</v>
      </c>
      <c r="D121" s="226">
        <v>2826240.12</v>
      </c>
      <c r="E121" s="226">
        <v>2551392.61</v>
      </c>
      <c r="F121" s="166">
        <f t="shared" si="30"/>
        <v>0.10772450657838985</v>
      </c>
      <c r="G121" s="241">
        <f t="shared" si="31"/>
        <v>0.10893042743968143</v>
      </c>
      <c r="H121" s="242">
        <f t="shared" si="32"/>
        <v>0.8910695725603186</v>
      </c>
      <c r="I121" s="157"/>
    </row>
    <row r="122" spans="1:9" ht="15.75" x14ac:dyDescent="0.25">
      <c r="A122" s="164"/>
      <c r="B122" s="165">
        <f>DATE(19,9,1)</f>
        <v>7184</v>
      </c>
      <c r="C122" s="226">
        <v>23331556.440000001</v>
      </c>
      <c r="D122" s="226">
        <v>2549839.52</v>
      </c>
      <c r="E122" s="226">
        <v>2483855.77</v>
      </c>
      <c r="F122" s="166">
        <f t="shared" si="30"/>
        <v>2.6565048903785585E-2</v>
      </c>
      <c r="G122" s="241">
        <f t="shared" si="31"/>
        <v>0.10928715906961584</v>
      </c>
      <c r="H122" s="242">
        <f t="shared" si="32"/>
        <v>0.89071284093038416</v>
      </c>
      <c r="I122" s="157"/>
    </row>
    <row r="123" spans="1:9" ht="15.75" x14ac:dyDescent="0.25">
      <c r="A123" s="164"/>
      <c r="B123" s="165">
        <f>DATE(19,10,1)</f>
        <v>7214</v>
      </c>
      <c r="C123" s="226">
        <v>23351338.109999999</v>
      </c>
      <c r="D123" s="226">
        <v>2654170.6800000002</v>
      </c>
      <c r="E123" s="226">
        <v>2351894.38</v>
      </c>
      <c r="F123" s="166">
        <f t="shared" si="30"/>
        <v>0.12852460661945214</v>
      </c>
      <c r="G123" s="241">
        <f t="shared" si="31"/>
        <v>0.1136624662576992</v>
      </c>
      <c r="H123" s="242">
        <f t="shared" si="32"/>
        <v>0.88633753374230084</v>
      </c>
      <c r="I123" s="157"/>
    </row>
    <row r="124" spans="1:9" ht="15.75" x14ac:dyDescent="0.25">
      <c r="A124" s="164"/>
      <c r="B124" s="165">
        <f>DATE(19,11,1)</f>
        <v>7245</v>
      </c>
      <c r="C124" s="226">
        <v>24764224.170000002</v>
      </c>
      <c r="D124" s="226">
        <v>2750246.46</v>
      </c>
      <c r="E124" s="226">
        <v>2270138.19</v>
      </c>
      <c r="F124" s="166">
        <f t="shared" si="30"/>
        <v>0.21148856581281514</v>
      </c>
      <c r="G124" s="241">
        <f t="shared" si="31"/>
        <v>0.11105724294531774</v>
      </c>
      <c r="H124" s="242">
        <f t="shared" si="32"/>
        <v>0.88894275705468229</v>
      </c>
      <c r="I124" s="157"/>
    </row>
    <row r="125" spans="1:9" ht="15.75" x14ac:dyDescent="0.25">
      <c r="A125" s="164"/>
      <c r="B125" s="165">
        <f>DATE(19,12,1)</f>
        <v>7275</v>
      </c>
      <c r="C125" s="226">
        <v>24233154.100000001</v>
      </c>
      <c r="D125" s="226">
        <v>2678793.62</v>
      </c>
      <c r="E125" s="226">
        <v>2456280.23</v>
      </c>
      <c r="F125" s="166">
        <f t="shared" si="30"/>
        <v>9.0589578209486349E-2</v>
      </c>
      <c r="G125" s="241">
        <f t="shared" si="31"/>
        <v>0.11054250754754207</v>
      </c>
      <c r="H125" s="242">
        <f t="shared" si="32"/>
        <v>0.88945749245245798</v>
      </c>
      <c r="I125" s="157"/>
    </row>
    <row r="126" spans="1:9" ht="15.75" x14ac:dyDescent="0.25">
      <c r="A126" s="164"/>
      <c r="B126" s="165">
        <f>DATE(20,1,1)</f>
        <v>7306</v>
      </c>
      <c r="C126" s="226">
        <v>21836098.890000001</v>
      </c>
      <c r="D126" s="226">
        <v>2358042.2999999998</v>
      </c>
      <c r="E126" s="226">
        <v>1907536.47</v>
      </c>
      <c r="F126" s="166">
        <f t="shared" si="30"/>
        <v>0.23617154224055273</v>
      </c>
      <c r="G126" s="241">
        <f t="shared" si="31"/>
        <v>0.10798825888629229</v>
      </c>
      <c r="H126" s="242">
        <f t="shared" si="32"/>
        <v>0.89201174111370773</v>
      </c>
      <c r="I126" s="157"/>
    </row>
    <row r="127" spans="1:9" ht="15.75" x14ac:dyDescent="0.25">
      <c r="A127" s="164"/>
      <c r="B127" s="165">
        <f>DATE(20,2,1)</f>
        <v>7337</v>
      </c>
      <c r="C127" s="226">
        <v>25660297.420000002</v>
      </c>
      <c r="D127" s="226">
        <v>2851642.94</v>
      </c>
      <c r="E127" s="226">
        <v>2252695.42</v>
      </c>
      <c r="F127" s="166">
        <f t="shared" si="30"/>
        <v>0.26588038253302793</v>
      </c>
      <c r="G127" s="241">
        <f t="shared" si="31"/>
        <v>0.11113054900826631</v>
      </c>
      <c r="H127" s="242">
        <f t="shared" si="32"/>
        <v>0.88886945099173365</v>
      </c>
      <c r="I127" s="157"/>
    </row>
    <row r="128" spans="1:9" ht="15.75" thickBot="1" x14ac:dyDescent="0.25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7.25" thickTop="1" thickBot="1" x14ac:dyDescent="0.3">
      <c r="A129" s="182" t="s">
        <v>14</v>
      </c>
      <c r="B129" s="183"/>
      <c r="C129" s="230">
        <f>SUM(C120:C128)</f>
        <v>192656709.39000005</v>
      </c>
      <c r="D129" s="230">
        <f>SUM(D120:D128)</f>
        <v>21281964.580000002</v>
      </c>
      <c r="E129" s="230">
        <f>SUM(E120:E128)</f>
        <v>18939026.359999999</v>
      </c>
      <c r="F129" s="176">
        <f>(+D129-E129)/E129</f>
        <v>0.12370953899448517</v>
      </c>
      <c r="G129" s="249">
        <f>D129/C129</f>
        <v>0.11046573279167954</v>
      </c>
      <c r="H129" s="246">
        <f>1-G129</f>
        <v>0.88953426720832041</v>
      </c>
      <c r="I129" s="157"/>
    </row>
    <row r="130" spans="1:9" ht="15.75" thickTop="1" x14ac:dyDescent="0.2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.75" x14ac:dyDescent="0.25">
      <c r="A131" s="164" t="s">
        <v>40</v>
      </c>
      <c r="B131" s="165">
        <f>DATE(19,7,1)</f>
        <v>7122</v>
      </c>
      <c r="C131" s="226">
        <v>209413515.11000001</v>
      </c>
      <c r="D131" s="226">
        <v>19119192.239999998</v>
      </c>
      <c r="E131" s="226">
        <v>19406302.420000002</v>
      </c>
      <c r="F131" s="166">
        <f t="shared" ref="F131:F138" si="33">(+D131-E131)/E131</f>
        <v>-1.4794687508533808E-2</v>
      </c>
      <c r="G131" s="241">
        <f t="shared" ref="G131:G138" si="34">D131/C131</f>
        <v>9.1298750369369117E-2</v>
      </c>
      <c r="H131" s="242">
        <f t="shared" ref="H131:H138" si="35">1-G131</f>
        <v>0.90870124963063093</v>
      </c>
      <c r="I131" s="157"/>
    </row>
    <row r="132" spans="1:9" ht="15.75" x14ac:dyDescent="0.25">
      <c r="A132" s="164"/>
      <c r="B132" s="165">
        <f>DATE(19,8,1)</f>
        <v>7153</v>
      </c>
      <c r="C132" s="226">
        <v>212666539.37</v>
      </c>
      <c r="D132" s="226">
        <v>19394509.940000001</v>
      </c>
      <c r="E132" s="226">
        <v>19632454.710000001</v>
      </c>
      <c r="F132" s="166">
        <f t="shared" si="33"/>
        <v>-1.2119970401806139E-2</v>
      </c>
      <c r="G132" s="241">
        <f t="shared" si="34"/>
        <v>9.119680979177068E-2</v>
      </c>
      <c r="H132" s="242">
        <f t="shared" si="35"/>
        <v>0.90880319020822931</v>
      </c>
      <c r="I132" s="157"/>
    </row>
    <row r="133" spans="1:9" ht="15.75" x14ac:dyDescent="0.25">
      <c r="A133" s="164"/>
      <c r="B133" s="165">
        <f>DATE(19,9,1)</f>
        <v>7184</v>
      </c>
      <c r="C133" s="226">
        <v>194172445.72</v>
      </c>
      <c r="D133" s="226">
        <v>17543226.640000001</v>
      </c>
      <c r="E133" s="226">
        <v>18357005.34</v>
      </c>
      <c r="F133" s="166">
        <f t="shared" si="33"/>
        <v>-4.4330689288779125E-2</v>
      </c>
      <c r="G133" s="241">
        <f t="shared" si="34"/>
        <v>9.0348692755807564E-2</v>
      </c>
      <c r="H133" s="242">
        <f t="shared" si="35"/>
        <v>0.90965130724419241</v>
      </c>
      <c r="I133" s="157"/>
    </row>
    <row r="134" spans="1:9" ht="15.75" x14ac:dyDescent="0.25">
      <c r="A134" s="164"/>
      <c r="B134" s="165">
        <f>DATE(19,10,1)</f>
        <v>7214</v>
      </c>
      <c r="C134" s="226">
        <v>194408213.02000001</v>
      </c>
      <c r="D134" s="226">
        <v>18312994.41</v>
      </c>
      <c r="E134" s="226">
        <v>17743741.07</v>
      </c>
      <c r="F134" s="166">
        <f t="shared" si="33"/>
        <v>3.2081923296460715E-2</v>
      </c>
      <c r="G134" s="241">
        <f t="shared" si="34"/>
        <v>9.4198666432451728E-2</v>
      </c>
      <c r="H134" s="242">
        <f t="shared" si="35"/>
        <v>0.90580133356754833</v>
      </c>
      <c r="I134" s="157"/>
    </row>
    <row r="135" spans="1:9" ht="15.75" x14ac:dyDescent="0.25">
      <c r="A135" s="164"/>
      <c r="B135" s="165">
        <f>DATE(19,11,1)</f>
        <v>7245</v>
      </c>
      <c r="C135" s="226">
        <v>194099111.36000001</v>
      </c>
      <c r="D135" s="226">
        <v>17726569.68</v>
      </c>
      <c r="E135" s="226">
        <v>17751037.91</v>
      </c>
      <c r="F135" s="166">
        <f t="shared" si="33"/>
        <v>-1.3784112300394748E-3</v>
      </c>
      <c r="G135" s="241">
        <f t="shared" si="34"/>
        <v>9.1327412865492882E-2</v>
      </c>
      <c r="H135" s="242">
        <f t="shared" si="35"/>
        <v>0.90867258713450716</v>
      </c>
      <c r="I135" s="157"/>
    </row>
    <row r="136" spans="1:9" ht="15.75" x14ac:dyDescent="0.25">
      <c r="A136" s="164"/>
      <c r="B136" s="165">
        <f>DATE(19,12,1)</f>
        <v>7275</v>
      </c>
      <c r="C136" s="226">
        <v>199823652.30000001</v>
      </c>
      <c r="D136" s="226">
        <v>17987460.18</v>
      </c>
      <c r="E136" s="226">
        <v>19880708.100000001</v>
      </c>
      <c r="F136" s="166">
        <f t="shared" si="33"/>
        <v>-9.5230406808296822E-2</v>
      </c>
      <c r="G136" s="241">
        <f t="shared" si="34"/>
        <v>9.0016672065401926E-2</v>
      </c>
      <c r="H136" s="242">
        <f t="shared" si="35"/>
        <v>0.90998332793459813</v>
      </c>
      <c r="I136" s="157"/>
    </row>
    <row r="137" spans="1:9" ht="15.75" x14ac:dyDescent="0.25">
      <c r="A137" s="164"/>
      <c r="B137" s="165">
        <f>DATE(20,1,1)</f>
        <v>7306</v>
      </c>
      <c r="C137" s="226">
        <v>191401212.25999999</v>
      </c>
      <c r="D137" s="226">
        <v>17177529.199999999</v>
      </c>
      <c r="E137" s="226">
        <v>15585305.41</v>
      </c>
      <c r="F137" s="166">
        <f t="shared" si="33"/>
        <v>0.10216186004147089</v>
      </c>
      <c r="G137" s="241">
        <f t="shared" si="34"/>
        <v>8.9746188110167199E-2</v>
      </c>
      <c r="H137" s="242">
        <f t="shared" si="35"/>
        <v>0.91025381188983279</v>
      </c>
      <c r="I137" s="157"/>
    </row>
    <row r="138" spans="1:9" ht="15.75" x14ac:dyDescent="0.25">
      <c r="A138" s="164"/>
      <c r="B138" s="165">
        <f>DATE(20,2,1)</f>
        <v>7337</v>
      </c>
      <c r="C138" s="226">
        <v>196849664.83000001</v>
      </c>
      <c r="D138" s="226">
        <v>17791352.699999999</v>
      </c>
      <c r="E138" s="226">
        <v>17148799.079999998</v>
      </c>
      <c r="F138" s="166">
        <f t="shared" si="33"/>
        <v>3.7469307151040521E-2</v>
      </c>
      <c r="G138" s="241">
        <f t="shared" si="34"/>
        <v>9.0380406364240787E-2</v>
      </c>
      <c r="H138" s="242">
        <f t="shared" si="35"/>
        <v>0.90961959363575917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74" t="s">
        <v>14</v>
      </c>
      <c r="B140" s="175"/>
      <c r="C140" s="228">
        <f>SUM(C131:C139)</f>
        <v>1592834353.97</v>
      </c>
      <c r="D140" s="228">
        <f>SUM(D131:D139)</f>
        <v>145052834.99000001</v>
      </c>
      <c r="E140" s="228">
        <f>SUM(E131:E139)</f>
        <v>145505354.03999996</v>
      </c>
      <c r="F140" s="176">
        <f>(+D140-E140)/E140</f>
        <v>-3.1099821239261968E-3</v>
      </c>
      <c r="G140" s="245">
        <f>D140/C140</f>
        <v>9.1065862955848814E-2</v>
      </c>
      <c r="H140" s="246">
        <f>1-G140</f>
        <v>0.90893413704415116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64</v>
      </c>
      <c r="B142" s="165">
        <f>DATE(19,7,1)</f>
        <v>7122</v>
      </c>
      <c r="C142" s="226">
        <v>30055377.399999999</v>
      </c>
      <c r="D142" s="226">
        <v>3293709.88</v>
      </c>
      <c r="E142" s="226">
        <v>3425449</v>
      </c>
      <c r="F142" s="166">
        <f t="shared" ref="F142:F149" si="36">(+D142-E142)/E142</f>
        <v>-3.8458934872479526E-2</v>
      </c>
      <c r="G142" s="241">
        <f t="shared" ref="G142:G149" si="37">D142/C142</f>
        <v>0.10958803931039642</v>
      </c>
      <c r="H142" s="242">
        <f t="shared" ref="H142:H149" si="38">1-G142</f>
        <v>0.8904119606896036</v>
      </c>
      <c r="I142" s="157"/>
    </row>
    <row r="143" spans="1:9" ht="15.75" x14ac:dyDescent="0.25">
      <c r="A143" s="164"/>
      <c r="B143" s="165">
        <f>DATE(19,8,1)</f>
        <v>7153</v>
      </c>
      <c r="C143" s="226">
        <v>32273780.59</v>
      </c>
      <c r="D143" s="226">
        <v>3283356.99</v>
      </c>
      <c r="E143" s="226">
        <v>3421840.59</v>
      </c>
      <c r="F143" s="166">
        <f t="shared" si="36"/>
        <v>-4.0470500117598882E-2</v>
      </c>
      <c r="G143" s="241">
        <f t="shared" si="37"/>
        <v>0.1017345018146819</v>
      </c>
      <c r="H143" s="242">
        <f t="shared" si="38"/>
        <v>0.89826549818531809</v>
      </c>
      <c r="I143" s="157"/>
    </row>
    <row r="144" spans="1:9" ht="15.75" x14ac:dyDescent="0.25">
      <c r="A144" s="164"/>
      <c r="B144" s="165">
        <f>DATE(19,9,1)</f>
        <v>7184</v>
      </c>
      <c r="C144" s="226">
        <v>27948254.77</v>
      </c>
      <c r="D144" s="226">
        <v>3164787.25</v>
      </c>
      <c r="E144" s="226">
        <v>3252949</v>
      </c>
      <c r="F144" s="166">
        <f t="shared" si="36"/>
        <v>-2.7102100278854666E-2</v>
      </c>
      <c r="G144" s="241">
        <f t="shared" si="37"/>
        <v>0.11323738373091981</v>
      </c>
      <c r="H144" s="242">
        <f t="shared" si="38"/>
        <v>0.88676261626908015</v>
      </c>
      <c r="I144" s="157"/>
    </row>
    <row r="145" spans="1:9" ht="15.75" x14ac:dyDescent="0.25">
      <c r="A145" s="164"/>
      <c r="B145" s="165">
        <f>DATE(19,10,1)</f>
        <v>7214</v>
      </c>
      <c r="C145" s="226">
        <v>28019367.18</v>
      </c>
      <c r="D145" s="226">
        <v>3114034.79</v>
      </c>
      <c r="E145" s="226">
        <v>3250399.43</v>
      </c>
      <c r="F145" s="166">
        <f t="shared" si="36"/>
        <v>-4.1953194657064076E-2</v>
      </c>
      <c r="G145" s="241">
        <f t="shared" si="37"/>
        <v>0.11113865527351285</v>
      </c>
      <c r="H145" s="242">
        <f t="shared" si="38"/>
        <v>0.88886134472648715</v>
      </c>
      <c r="I145" s="157"/>
    </row>
    <row r="146" spans="1:9" ht="15.75" x14ac:dyDescent="0.25">
      <c r="A146" s="164"/>
      <c r="B146" s="165">
        <f>DATE(19,11,1)</f>
        <v>7245</v>
      </c>
      <c r="C146" s="226">
        <v>29444428.43</v>
      </c>
      <c r="D146" s="226">
        <v>3192066.7</v>
      </c>
      <c r="E146" s="226">
        <v>3195617.35</v>
      </c>
      <c r="F146" s="166">
        <f t="shared" si="36"/>
        <v>-1.1110998630671181E-3</v>
      </c>
      <c r="G146" s="241">
        <f t="shared" si="37"/>
        <v>0.10840987141552744</v>
      </c>
      <c r="H146" s="242">
        <f t="shared" si="38"/>
        <v>0.89159012858447251</v>
      </c>
      <c r="I146" s="157"/>
    </row>
    <row r="147" spans="1:9" ht="15.75" x14ac:dyDescent="0.25">
      <c r="A147" s="164"/>
      <c r="B147" s="165">
        <f>DATE(19,12,1)</f>
        <v>7275</v>
      </c>
      <c r="C147" s="226">
        <v>30319604.32</v>
      </c>
      <c r="D147" s="226">
        <v>3336598.49</v>
      </c>
      <c r="E147" s="226">
        <v>3572083.96</v>
      </c>
      <c r="F147" s="166">
        <f t="shared" si="36"/>
        <v>-6.5923833996331865E-2</v>
      </c>
      <c r="G147" s="241">
        <f t="shared" si="37"/>
        <v>0.11004756047555175</v>
      </c>
      <c r="H147" s="242">
        <f t="shared" si="38"/>
        <v>0.88995243952444825</v>
      </c>
      <c r="I147" s="157"/>
    </row>
    <row r="148" spans="1:9" ht="15.75" x14ac:dyDescent="0.25">
      <c r="A148" s="164"/>
      <c r="B148" s="165">
        <f>DATE(20,1,1)</f>
        <v>7306</v>
      </c>
      <c r="C148" s="226">
        <v>28034607.52</v>
      </c>
      <c r="D148" s="226">
        <v>3179496.92</v>
      </c>
      <c r="E148" s="226">
        <v>3109821.23</v>
      </c>
      <c r="F148" s="166">
        <f t="shared" si="36"/>
        <v>2.2405046736400324E-2</v>
      </c>
      <c r="G148" s="241">
        <f t="shared" si="37"/>
        <v>0.11341328455309155</v>
      </c>
      <c r="H148" s="242">
        <f t="shared" si="38"/>
        <v>0.88658671544690848</v>
      </c>
      <c r="I148" s="157"/>
    </row>
    <row r="149" spans="1:9" ht="15.75" x14ac:dyDescent="0.25">
      <c r="A149" s="164"/>
      <c r="B149" s="165">
        <f>DATE(20,2,1)</f>
        <v>7337</v>
      </c>
      <c r="C149" s="226">
        <v>32297262.23</v>
      </c>
      <c r="D149" s="226">
        <v>3678191.22</v>
      </c>
      <c r="E149" s="226">
        <v>3355638.84</v>
      </c>
      <c r="F149" s="166">
        <f t="shared" si="36"/>
        <v>9.6122495709341699E-2</v>
      </c>
      <c r="G149" s="241">
        <f t="shared" si="37"/>
        <v>0.11388554218021099</v>
      </c>
      <c r="H149" s="242">
        <f t="shared" si="38"/>
        <v>0.88611445781978904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69" t="s">
        <v>14</v>
      </c>
      <c r="B151" s="155"/>
      <c r="C151" s="223">
        <f>SUM(C142:C150)</f>
        <v>238392682.44</v>
      </c>
      <c r="D151" s="223">
        <f>SUM(D142:D150)</f>
        <v>26242242.240000002</v>
      </c>
      <c r="E151" s="223">
        <f>SUM(E142:E150)</f>
        <v>26583799.399999999</v>
      </c>
      <c r="F151" s="176">
        <f>(+D151-E151)/E151</f>
        <v>-1.2848319943310904E-2</v>
      </c>
      <c r="G151" s="245">
        <f>D151/C151</f>
        <v>0.11007989830646248</v>
      </c>
      <c r="H151" s="246">
        <f>1-G151</f>
        <v>0.88992010169353752</v>
      </c>
      <c r="I151" s="157"/>
    </row>
    <row r="152" spans="1:9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7.25" thickTop="1" thickBot="1" x14ac:dyDescent="0.3">
      <c r="A153" s="184" t="s">
        <v>41</v>
      </c>
      <c r="B153" s="155"/>
      <c r="C153" s="223">
        <f>C151+C140+C107+C85+C63+C41+C19+C52+C129+C30+C96+C118+C74</f>
        <v>10156114491.07</v>
      </c>
      <c r="D153" s="223">
        <f>D151+D140+D107+D85+D63+D41+D19+D52+D129+D30+D96+D118+D74</f>
        <v>985758335.04000008</v>
      </c>
      <c r="E153" s="223">
        <f>E151+E140+E107+E85+E63+E41+E19+E52+E129+E30+E96+E118+E74</f>
        <v>963074804.69000006</v>
      </c>
      <c r="F153" s="170">
        <f>(+D153-E153)/E153</f>
        <v>2.355323827342937E-2</v>
      </c>
      <c r="G153" s="236">
        <f>D153/C153</f>
        <v>9.7060577242089094E-2</v>
      </c>
      <c r="H153" s="237">
        <f>1-G153</f>
        <v>0.90293942275791095</v>
      </c>
      <c r="I153" s="157"/>
    </row>
    <row r="154" spans="1:9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7.25" thickTop="1" thickBot="1" x14ac:dyDescent="0.3">
      <c r="A155" s="184" t="s">
        <v>42</v>
      </c>
      <c r="B155" s="155"/>
      <c r="C155" s="223">
        <f>SUM(C17+C28+C39+C50+C61+C72+C83+C94+C105+C116+C127+C138+C149)</f>
        <v>1317002074.5799999</v>
      </c>
      <c r="D155" s="223">
        <f>SUM(D17+D28+D39+D50+D61+D72+D83+D94+D105+D116+D127+D138+D149)</f>
        <v>128361580.44</v>
      </c>
      <c r="E155" s="223">
        <f>SUM(E17+E28+E39+E50+E61+E72+E83+E94+E105+E116+E127+E138+E149)</f>
        <v>113966081.99000001</v>
      </c>
      <c r="F155" s="170">
        <f>(+D155-E155)/E155</f>
        <v>0.1263138839085749</v>
      </c>
      <c r="G155" s="236">
        <f>D155/C155</f>
        <v>9.7464979681930491E-2</v>
      </c>
      <c r="H155" s="246">
        <f>1-G155</f>
        <v>0.90253502031806954</v>
      </c>
      <c r="I155" s="157"/>
    </row>
    <row r="156" spans="1:9" ht="16.5" thickTop="1" x14ac:dyDescent="0.25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 x14ac:dyDescent="0.3">
      <c r="A157" s="188" t="s">
        <v>52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.75" x14ac:dyDescent="0.2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.75" x14ac:dyDescent="0.25">
      <c r="A159" s="72"/>
      <c r="I159" s="151"/>
    </row>
  </sheetData>
  <phoneticPr fontId="0" type="noConversion"/>
  <printOptions horizontalCentered="1"/>
  <pageMargins left="0.75" right="0.25" top="0.31940000000000002" bottom="0.2" header="0.5" footer="0.5"/>
  <pageSetup scale="66" orientation="landscape" r:id="rId1"/>
  <headerFooter alignWithMargins="0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2020-03-09T14:24:06Z</cp:lastPrinted>
  <dcterms:created xsi:type="dcterms:W3CDTF">2003-09-09T14:41:43Z</dcterms:created>
  <dcterms:modified xsi:type="dcterms:W3CDTF">2020-03-09T20:05:55Z</dcterms:modified>
</cp:coreProperties>
</file>