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STATS'!$A$1:$M$104</definedName>
    <definedName name="_xlnm.Print_Area" localSheetId="3">'SLOT STATS'!$A$1:$I$105</definedName>
    <definedName name="_xlnm.Print_Area" localSheetId="2">'TABLE STATS'!$A$1:$H$104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<sst xmlns="http://schemas.openxmlformats.org/spreadsheetml/2006/main" count="192" uniqueCount="75">
  <si>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</si>
  <si>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</si>
  <si>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</si>
  <si>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</si>
  <si>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</si>
  <si>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</si>
  <si>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</si>
  <si>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</si>
  <si>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</si>
  <si>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</si>
  <si>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</si>
  <si>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</si>
  <si>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</si>
  <si>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</si>
  <si>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</si>
  <si>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</si>
  <si>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</si>
  <si>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</si>
  <si>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</si>
  <si>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</si>
  <si>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</si>
  <si>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</si>
  <si>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</si>
  <si>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</si>
  <si>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</si>
  <si>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</si>
  <si>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</si>
  <si>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</si>
  <si>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</si>
  <si>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</si>
  <si>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</si>
  <si>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</si>
  <si>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</si>
  <si>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</si>
  <si>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</si>
  <si>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</si>
  <si>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</si>
  <si>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</si>
  <si>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</si>
  <si>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</si>
  <si>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</si>
  <si>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</si>
  <si>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</si>
  <si>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</si>
  <si>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</si>
  <si>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</si>
  <si>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</si>
  <si>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</si>
  <si>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</si>
  <si>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</si>
  <si>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</si>
  <si>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</si>
  <si>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</si>
  <si>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</si>
  <si>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</si>
  <si>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</si>
  <si>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</si>
  <si>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</si>
  <si>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</si>
  <si>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</si>
  <si>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</si>
  <si>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</si>
  <si>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</si>
  <si>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</si>
  <si>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</si>
  <si>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</si>
  <si>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</si>
  <si>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</si>
  <si>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2019 YTD ADMISSIONS, PATRONS AND AGR SUMMARY </t>
  </si>
  <si>
    <t>MONTH ENDED:   OCTOBER 31, 2018</t>
  </si>
  <si>
    <t>(as reported on the tax remittal database dtd 11/8/18)</t>
  </si>
  <si>
    <t>FOR THE MONTH ENDED:   OCTOBER 31, 2018</t>
  </si>
  <si>
    <t>THRU MONTH ENDED:   OCTOBER 31, 2018</t>
  </si>
  <si>
    <t>(as reported on the tax remittal database as of 11/8/18)</t>
  </si>
  <si>
    <t>THRU MONTH ENDED:     OCTOBER 31,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</si>
</sst>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0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3" fontId="14" fillId="0" borderId="23" xfId="55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4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DATE(2018,7,1)</f>
        <v>43282</v>
      </c>
      <c r="C9" s="21">
        <v>261456</v>
      </c>
      <c r="D9" s="22">
        <v>295047</v>
      </c>
      <c r="E9" s="23">
        <f>(+C9-D9)/D9</f>
        <v>-0.11384965785112203</v>
      </c>
      <c r="F9" s="21">
        <f>+C9-122888</f>
        <v>138568</v>
      </c>
      <c r="G9" s="21">
        <f>+D9-138811</f>
        <v>156236</v>
      </c>
      <c r="H9" s="23">
        <f>(+F9-G9)/G9</f>
        <v>-0.11308533244578714</v>
      </c>
      <c r="I9" s="24">
        <f>K9/C9</f>
        <v>51.156026597209475</v>
      </c>
      <c r="J9" s="24">
        <f>K9/F9</f>
        <v>96.52336823797702</v>
      </c>
      <c r="K9" s="21">
        <v>13375050.09</v>
      </c>
      <c r="L9" s="21">
        <v>14143686.63</v>
      </c>
      <c r="M9" s="25">
        <f>(+K9-L9)/L9</f>
        <v>-0.05434485082338118</v>
      </c>
      <c r="N9" s="10"/>
      <c r="R9" s="2"/>
    </row>
    <row r="10" spans="1:18" ht="15.75">
      <c r="A10" s="19"/>
      <c r="B10" s="20">
        <f>DATE(2018,8,1)</f>
        <v>43313</v>
      </c>
      <c r="C10" s="21">
        <v>266367</v>
      </c>
      <c r="D10" s="22">
        <v>268688</v>
      </c>
      <c r="E10" s="23">
        <f>(+C10-D10)/D10</f>
        <v>-0.008638271899005538</v>
      </c>
      <c r="F10" s="21">
        <f>+C10-122166</f>
        <v>144201</v>
      </c>
      <c r="G10" s="21">
        <f>+D10-125473</f>
        <v>143215</v>
      </c>
      <c r="H10" s="23">
        <f>(+F10-G10)/G10</f>
        <v>0.006884753692001536</v>
      </c>
      <c r="I10" s="24">
        <f>K10/C10</f>
        <v>52.40101754346447</v>
      </c>
      <c r="J10" s="24">
        <f>K10/F10</f>
        <v>96.79476453006568</v>
      </c>
      <c r="K10" s="21">
        <v>13957901.84</v>
      </c>
      <c r="L10" s="21">
        <v>13000027.54</v>
      </c>
      <c r="M10" s="25">
        <f>(+K10-L10)/L10</f>
        <v>0.07368248236803357</v>
      </c>
      <c r="N10" s="10"/>
      <c r="R10" s="2"/>
    </row>
    <row r="11" spans="1:18" ht="15.75">
      <c r="A11" s="19"/>
      <c r="B11" s="20">
        <f>DATE(2018,9,1)</f>
        <v>43344</v>
      </c>
      <c r="C11" s="21">
        <v>263626</v>
      </c>
      <c r="D11" s="22">
        <v>281607</v>
      </c>
      <c r="E11" s="23">
        <f>(+C11-D11)/D11</f>
        <v>-0.0638513957394525</v>
      </c>
      <c r="F11" s="21">
        <f>+C11-122145</f>
        <v>141481</v>
      </c>
      <c r="G11" s="21">
        <f>+D11-134639</f>
        <v>146968</v>
      </c>
      <c r="H11" s="23">
        <f>(+F11-G11)/G11</f>
        <v>-0.0373346578847096</v>
      </c>
      <c r="I11" s="24">
        <f>K11/C11</f>
        <v>51.34585473359988</v>
      </c>
      <c r="J11" s="24">
        <f>K11/F11</f>
        <v>95.67434708547438</v>
      </c>
      <c r="K11" s="21">
        <v>13536102.3</v>
      </c>
      <c r="L11" s="21">
        <v>13577167.09</v>
      </c>
      <c r="M11" s="25">
        <f>(+K11-L11)/L11</f>
        <v>-0.0030245477372260214</v>
      </c>
      <c r="N11" s="10"/>
      <c r="R11" s="2"/>
    </row>
    <row r="12" spans="1:18" ht="15.75">
      <c r="A12" s="19"/>
      <c r="B12" s="20">
        <f>DATE(2018,10,1)</f>
        <v>43374</v>
      </c>
      <c r="C12" s="21">
        <v>264243</v>
      </c>
      <c r="D12" s="22">
        <v>266701</v>
      </c>
      <c r="E12" s="23">
        <f>(+C12-D12)/D12</f>
        <v>-0.009216313399649794</v>
      </c>
      <c r="F12" s="21">
        <f>+C12-121413</f>
        <v>142830</v>
      </c>
      <c r="G12" s="21">
        <f>+D12-124344</f>
        <v>142357</v>
      </c>
      <c r="H12" s="23">
        <f>(+F12-G12)/G12</f>
        <v>0.0033226325365103226</v>
      </c>
      <c r="I12" s="24">
        <f>K12/C12</f>
        <v>52.8501128885155</v>
      </c>
      <c r="J12" s="24">
        <f>K12/F12</f>
        <v>97.77548400196038</v>
      </c>
      <c r="K12" s="21">
        <v>13965272.38</v>
      </c>
      <c r="L12" s="21">
        <v>13210098.19</v>
      </c>
      <c r="M12" s="25">
        <f>(+K12-L12)/L12</f>
        <v>0.05716643276517548</v>
      </c>
      <c r="N12" s="10"/>
      <c r="R12" s="2"/>
    </row>
    <row r="13" spans="1:18" ht="15.75" customHeight="1" thickBot="1">
      <c r="A13" s="19"/>
      <c r="B13" s="20"/>
      <c r="C13" s="21"/>
      <c r="D13" s="21"/>
      <c r="E13" s="23"/>
      <c r="F13" s="21"/>
      <c r="G13" s="21"/>
      <c r="H13" s="23"/>
      <c r="I13" s="24"/>
      <c r="J13" s="24"/>
      <c r="K13" s="21"/>
      <c r="L13" s="21"/>
      <c r="M13" s="25"/>
      <c r="N13" s="10"/>
      <c r="R13" s="2"/>
    </row>
    <row r="14" spans="1:18" ht="17.25" thickBot="1" thickTop="1">
      <c r="A14" s="26" t="s">
        <v>14</v>
      </c>
      <c r="B14" s="27"/>
      <c r="C14" s="28">
        <f>SUM(C9:C13)</f>
        <v>1055692</v>
      </c>
      <c r="D14" s="28">
        <f>SUM(D9:D13)</f>
        <v>1112043</v>
      </c>
      <c r="E14" s="279">
        <f>(+C14-D14)/D14</f>
        <v>-0.05067340021923613</v>
      </c>
      <c r="F14" s="28">
        <f>SUM(F9:F13)</f>
        <v>567080</v>
      </c>
      <c r="G14" s="28">
        <f>SUM(G9:G13)</f>
        <v>588776</v>
      </c>
      <c r="H14" s="30">
        <f>(+F14-G14)/G14</f>
        <v>-0.036849328097612676</v>
      </c>
      <c r="I14" s="31">
        <f>K14/C14</f>
        <v>51.94159528536733</v>
      </c>
      <c r="J14" s="31">
        <f>K14/F14</f>
        <v>96.69592757635608</v>
      </c>
      <c r="K14" s="28">
        <f>SUM(K9:K13)</f>
        <v>54834326.61000001</v>
      </c>
      <c r="L14" s="28">
        <f>SUM(L9:L13)</f>
        <v>53930979.45</v>
      </c>
      <c r="M14" s="32">
        <f>(+K14-L14)/L14</f>
        <v>0.016750060340318996</v>
      </c>
      <c r="N14" s="10"/>
      <c r="R14" s="2"/>
    </row>
    <row r="15" spans="1:18" ht="15.75" customHeight="1" thickTop="1">
      <c r="A15" s="15"/>
      <c r="B15" s="16"/>
      <c r="C15" s="16"/>
      <c r="D15" s="16"/>
      <c r="E15" s="17"/>
      <c r="F15" s="16"/>
      <c r="G15" s="16"/>
      <c r="H15" s="17"/>
      <c r="I15" s="16"/>
      <c r="J15" s="16"/>
      <c r="K15" s="195"/>
      <c r="L15" s="195"/>
      <c r="M15" s="18"/>
      <c r="N15" s="10"/>
      <c r="R15" s="2"/>
    </row>
    <row r="16" spans="1:18" ht="15.75">
      <c r="A16" s="19" t="s">
        <v>15</v>
      </c>
      <c r="B16" s="20">
        <f>DATE(2018,7,1)</f>
        <v>43282</v>
      </c>
      <c r="C16" s="21">
        <v>142477</v>
      </c>
      <c r="D16" s="21">
        <v>154485</v>
      </c>
      <c r="E16" s="23">
        <f>(+C16-D16)/D16</f>
        <v>-0.07772922937502023</v>
      </c>
      <c r="F16" s="21">
        <f>+C16-67443</f>
        <v>75034</v>
      </c>
      <c r="G16" s="21">
        <f>+D16-74453</f>
        <v>80032</v>
      </c>
      <c r="H16" s="23">
        <f>(+F16-G16)/G16</f>
        <v>-0.0624500199920032</v>
      </c>
      <c r="I16" s="24">
        <f>K16/C16</f>
        <v>51.76168967622844</v>
      </c>
      <c r="J16" s="24">
        <f>K16/F16</f>
        <v>98.28678012634272</v>
      </c>
      <c r="K16" s="21">
        <v>7374850.26</v>
      </c>
      <c r="L16" s="21">
        <v>7453089.46</v>
      </c>
      <c r="M16" s="25">
        <f>(+K16-L16)/L16</f>
        <v>-0.010497552782628237</v>
      </c>
      <c r="N16" s="10"/>
      <c r="R16" s="2"/>
    </row>
    <row r="17" spans="1:18" ht="15.75">
      <c r="A17" s="19"/>
      <c r="B17" s="20">
        <f>DATE(2018,8,1)</f>
        <v>43313</v>
      </c>
      <c r="C17" s="21">
        <v>137832</v>
      </c>
      <c r="D17" s="21">
        <v>146885</v>
      </c>
      <c r="E17" s="23">
        <f>(+C17-D17)/D17</f>
        <v>-0.06163325050209347</v>
      </c>
      <c r="F17" s="21">
        <f>+C17-65951</f>
        <v>71881</v>
      </c>
      <c r="G17" s="21">
        <f>+D17-69501</f>
        <v>77384</v>
      </c>
      <c r="H17" s="23">
        <f>(+F17-G17)/G17</f>
        <v>-0.07111289155380958</v>
      </c>
      <c r="I17" s="24">
        <f>K17/C17</f>
        <v>51.50183745429218</v>
      </c>
      <c r="J17" s="24">
        <f>K17/F17</f>
        <v>98.75490407757265</v>
      </c>
      <c r="K17" s="21">
        <v>7098601.26</v>
      </c>
      <c r="L17" s="21">
        <v>6887015.31</v>
      </c>
      <c r="M17" s="25">
        <f>(+K17-L17)/L17</f>
        <v>0.030722445134218845</v>
      </c>
      <c r="N17" s="10"/>
      <c r="R17" s="2"/>
    </row>
    <row r="18" spans="1:18" ht="15.75">
      <c r="A18" s="19"/>
      <c r="B18" s="20">
        <f>DATE(2018,9,1)</f>
        <v>43344</v>
      </c>
      <c r="C18" s="21">
        <v>137262</v>
      </c>
      <c r="D18" s="21">
        <v>147791</v>
      </c>
      <c r="E18" s="23">
        <f>(+C18-D18)/D18</f>
        <v>-0.07124249785169598</v>
      </c>
      <c r="F18" s="21">
        <f>+C18-65092</f>
        <v>72170</v>
      </c>
      <c r="G18" s="21">
        <f>+D18-70004</f>
        <v>77787</v>
      </c>
      <c r="H18" s="23">
        <f>(+F18-G18)/G18</f>
        <v>-0.07221000938460154</v>
      </c>
      <c r="I18" s="24">
        <f>K18/C18</f>
        <v>47.466560883565734</v>
      </c>
      <c r="J18" s="24">
        <f>K18/F18</f>
        <v>90.27788665650547</v>
      </c>
      <c r="K18" s="21">
        <v>6515355.08</v>
      </c>
      <c r="L18" s="21">
        <v>6683115.09</v>
      </c>
      <c r="M18" s="25">
        <f>(+K18-L18)/L18</f>
        <v>-0.02510206808364268</v>
      </c>
      <c r="N18" s="10"/>
      <c r="R18" s="2"/>
    </row>
    <row r="19" spans="1:18" ht="15.75">
      <c r="A19" s="19"/>
      <c r="B19" s="20">
        <f>DATE(2018,10,1)</f>
        <v>43374</v>
      </c>
      <c r="C19" s="21">
        <v>119937</v>
      </c>
      <c r="D19" s="21">
        <v>137700</v>
      </c>
      <c r="E19" s="23">
        <f>(+C19-D19)/D19</f>
        <v>-0.12899782135076251</v>
      </c>
      <c r="F19" s="21">
        <f>+C19-56627</f>
        <v>63310</v>
      </c>
      <c r="G19" s="21">
        <f>+D19-65646</f>
        <v>72054</v>
      </c>
      <c r="H19" s="23">
        <f>(+F19-G19)/G19</f>
        <v>-0.12135342937241514</v>
      </c>
      <c r="I19" s="24">
        <f>K19/C19</f>
        <v>52.92046549438455</v>
      </c>
      <c r="J19" s="24">
        <f>K19/F19</f>
        <v>100.2546496604012</v>
      </c>
      <c r="K19" s="21">
        <v>6347121.87</v>
      </c>
      <c r="L19" s="21">
        <v>6249987.86</v>
      </c>
      <c r="M19" s="25">
        <f>(+K19-L19)/L19</f>
        <v>0.015541471787754764</v>
      </c>
      <c r="N19" s="10"/>
      <c r="R19" s="2"/>
    </row>
    <row r="20" spans="1:18" ht="15.75" customHeight="1" thickBot="1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customHeight="1" thickBot="1" thickTop="1">
      <c r="A21" s="26" t="s">
        <v>14</v>
      </c>
      <c r="B21" s="27"/>
      <c r="C21" s="28">
        <f>SUM(C16:C20)</f>
        <v>537508</v>
      </c>
      <c r="D21" s="28">
        <f>SUM(D16:D20)</f>
        <v>586861</v>
      </c>
      <c r="E21" s="279">
        <f>(+C21-D21)/D21</f>
        <v>-0.08409657482777012</v>
      </c>
      <c r="F21" s="28">
        <f>SUM(F16:F20)</f>
        <v>282395</v>
      </c>
      <c r="G21" s="28">
        <f>SUM(G16:G20)</f>
        <v>307257</v>
      </c>
      <c r="H21" s="30">
        <f>(+F21-G21)/G21</f>
        <v>-0.0809159758768718</v>
      </c>
      <c r="I21" s="31">
        <f>K21/C21</f>
        <v>50.85678440134845</v>
      </c>
      <c r="J21" s="31">
        <f>K21/F21</f>
        <v>96.8003274491404</v>
      </c>
      <c r="K21" s="28">
        <f>SUM(K16:K20)</f>
        <v>27335928.470000003</v>
      </c>
      <c r="L21" s="28">
        <f>SUM(L16:L20)</f>
        <v>27273207.72</v>
      </c>
      <c r="M21" s="32">
        <f>(+K21-L21)/L21</f>
        <v>0.0022997203205404153</v>
      </c>
      <c r="N21" s="10"/>
      <c r="R21" s="2"/>
    </row>
    <row r="22" spans="1:18" ht="15.75" customHeight="1" thickTop="1">
      <c r="A22" s="33"/>
      <c r="B22" s="34"/>
      <c r="C22" s="35"/>
      <c r="D22" s="35"/>
      <c r="E22" s="29"/>
      <c r="F22" s="35"/>
      <c r="G22" s="35"/>
      <c r="H22" s="29"/>
      <c r="I22" s="36"/>
      <c r="J22" s="36"/>
      <c r="K22" s="35"/>
      <c r="L22" s="35"/>
      <c r="M22" s="37"/>
      <c r="N22" s="10"/>
      <c r="R22" s="2"/>
    </row>
    <row r="23" spans="1:18" ht="15.75" customHeight="1">
      <c r="A23" s="19" t="s">
        <v>56</v>
      </c>
      <c r="B23" s="20">
        <f>DATE(2018,7,1)</f>
        <v>43282</v>
      </c>
      <c r="C23" s="21">
        <v>72910</v>
      </c>
      <c r="D23" s="21">
        <v>74865</v>
      </c>
      <c r="E23" s="23">
        <f>(+C23-D23)/D23</f>
        <v>-0.026113671274961597</v>
      </c>
      <c r="F23" s="21">
        <f>+C23-39365</f>
        <v>33545</v>
      </c>
      <c r="G23" s="21">
        <f>+D23-41129</f>
        <v>33736</v>
      </c>
      <c r="H23" s="23">
        <f>(+F23-G23)/G23</f>
        <v>-0.0056616077780412616</v>
      </c>
      <c r="I23" s="24">
        <f>K23/C23</f>
        <v>44.78074132492114</v>
      </c>
      <c r="J23" s="24">
        <f>K23/F23</f>
        <v>97.33086451035922</v>
      </c>
      <c r="K23" s="21">
        <v>3264963.85</v>
      </c>
      <c r="L23" s="21">
        <v>3281831.24</v>
      </c>
      <c r="M23" s="25">
        <f>(+K23-L23)/L23</f>
        <v>-0.005139627472130507</v>
      </c>
      <c r="N23" s="10"/>
      <c r="R23" s="2"/>
    </row>
    <row r="24" spans="1:18" ht="15.75" customHeight="1">
      <c r="A24" s="19"/>
      <c r="B24" s="20">
        <f>DATE(2018,8,1)</f>
        <v>43313</v>
      </c>
      <c r="C24" s="21">
        <v>70597</v>
      </c>
      <c r="D24" s="21">
        <v>67175</v>
      </c>
      <c r="E24" s="23">
        <f>(+C24-D24)/D24</f>
        <v>0.05094157052474879</v>
      </c>
      <c r="F24" s="21">
        <f>+C24-38383</f>
        <v>32214</v>
      </c>
      <c r="G24" s="21">
        <f>+D24-36831</f>
        <v>30344</v>
      </c>
      <c r="H24" s="23">
        <f>(+F24-G24)/G24</f>
        <v>0.06162668072765621</v>
      </c>
      <c r="I24" s="24">
        <f>K24/C24</f>
        <v>44.26041134892417</v>
      </c>
      <c r="J24" s="24">
        <f>K24/F24</f>
        <v>96.9967175762091</v>
      </c>
      <c r="K24" s="21">
        <v>3124652.26</v>
      </c>
      <c r="L24" s="21">
        <v>2914048.09</v>
      </c>
      <c r="M24" s="25">
        <f>(+K24-L24)/L24</f>
        <v>0.07227202966303824</v>
      </c>
      <c r="N24" s="10"/>
      <c r="R24" s="2"/>
    </row>
    <row r="25" spans="1:18" ht="15.75" customHeight="1">
      <c r="A25" s="19"/>
      <c r="B25" s="20">
        <f>DATE(2018,9,1)</f>
        <v>43344</v>
      </c>
      <c r="C25" s="21">
        <v>68305</v>
      </c>
      <c r="D25" s="21">
        <v>69904</v>
      </c>
      <c r="E25" s="23">
        <f>(+C25-D25)/D25</f>
        <v>-0.02287422751201648</v>
      </c>
      <c r="F25" s="21">
        <f>+C25-36547</f>
        <v>31758</v>
      </c>
      <c r="G25" s="21">
        <f>+D25-38362</f>
        <v>31542</v>
      </c>
      <c r="H25" s="23">
        <f>(+F25-G25)/G25</f>
        <v>0.0068480121742438655</v>
      </c>
      <c r="I25" s="24">
        <f>K25/C25</f>
        <v>45.77746343605885</v>
      </c>
      <c r="J25" s="24">
        <f>K25/F25</f>
        <v>98.45801498834939</v>
      </c>
      <c r="K25" s="21">
        <v>3126829.64</v>
      </c>
      <c r="L25" s="21">
        <v>3243425.56</v>
      </c>
      <c r="M25" s="25">
        <f>(+K25-L25)/L25</f>
        <v>-0.035948387852009135</v>
      </c>
      <c r="N25" s="10"/>
      <c r="R25" s="2"/>
    </row>
    <row r="26" spans="1:18" ht="15.75" customHeight="1">
      <c r="A26" s="19"/>
      <c r="B26" s="20">
        <f>DATE(2018,10,1)</f>
        <v>43374</v>
      </c>
      <c r="C26" s="21">
        <v>62249</v>
      </c>
      <c r="D26" s="21">
        <v>63657</v>
      </c>
      <c r="E26" s="23">
        <f>(+C26-D26)/D26</f>
        <v>-0.022118541558665977</v>
      </c>
      <c r="F26" s="21">
        <f>+C26-32770</f>
        <v>29479</v>
      </c>
      <c r="G26" s="21">
        <f>+D26-34877</f>
        <v>28780</v>
      </c>
      <c r="H26" s="23">
        <f>(+F26-G26)/G26</f>
        <v>0.02428769979152189</v>
      </c>
      <c r="I26" s="24">
        <f>K26/C26</f>
        <v>45.73454641841636</v>
      </c>
      <c r="J26" s="24">
        <f>K26/F26</f>
        <v>96.57484243020454</v>
      </c>
      <c r="K26" s="21">
        <v>2846929.78</v>
      </c>
      <c r="L26" s="21">
        <v>2893425.26</v>
      </c>
      <c r="M26" s="25">
        <f>(+K26-L26)/L26</f>
        <v>-0.016069355805651598</v>
      </c>
      <c r="N26" s="10"/>
      <c r="R26" s="2"/>
    </row>
    <row r="27" spans="1:18" ht="15.75" customHeight="1" thickBot="1">
      <c r="A27" s="38"/>
      <c r="B27" s="20"/>
      <c r="C27" s="21"/>
      <c r="D27" s="21"/>
      <c r="E27" s="23"/>
      <c r="F27" s="21"/>
      <c r="G27" s="21"/>
      <c r="H27" s="23"/>
      <c r="I27" s="24"/>
      <c r="J27" s="24"/>
      <c r="K27" s="21"/>
      <c r="L27" s="21"/>
      <c r="M27" s="25"/>
      <c r="N27" s="10"/>
      <c r="R27" s="2"/>
    </row>
    <row r="28" spans="1:18" ht="17.25" customHeight="1" thickBot="1" thickTop="1">
      <c r="A28" s="39" t="s">
        <v>14</v>
      </c>
      <c r="B28" s="40"/>
      <c r="C28" s="41">
        <f>SUM(C23:C27)</f>
        <v>274061</v>
      </c>
      <c r="D28" s="41">
        <f>SUM(D23:D27)</f>
        <v>275601</v>
      </c>
      <c r="E28" s="280">
        <f>(+C28-D28)/D28</f>
        <v>-0.005587788143003835</v>
      </c>
      <c r="F28" s="41">
        <f>SUM(F23:F27)</f>
        <v>126996</v>
      </c>
      <c r="G28" s="41">
        <f>SUM(G23:G27)</f>
        <v>124402</v>
      </c>
      <c r="H28" s="42">
        <f>(+F28-G28)/G28</f>
        <v>0.02085175479493899</v>
      </c>
      <c r="I28" s="43">
        <f>K28/C28</f>
        <v>45.11176537340227</v>
      </c>
      <c r="J28" s="43">
        <f>K28/F28</f>
        <v>97.35247984188477</v>
      </c>
      <c r="K28" s="41">
        <f>SUM(K23:K27)</f>
        <v>12363375.53</v>
      </c>
      <c r="L28" s="41">
        <f>SUM(L23:L27)</f>
        <v>12332730.15</v>
      </c>
      <c r="M28" s="44">
        <f>(+K28-L28)/L28</f>
        <v>0.002484882068063328</v>
      </c>
      <c r="N28" s="10"/>
      <c r="R28" s="2"/>
    </row>
    <row r="29" spans="1:18" ht="15.75" customHeight="1" thickTop="1">
      <c r="A29" s="38"/>
      <c r="B29" s="45"/>
      <c r="C29" s="21"/>
      <c r="D29" s="21"/>
      <c r="E29" s="23"/>
      <c r="F29" s="21"/>
      <c r="G29" s="21"/>
      <c r="H29" s="23"/>
      <c r="I29" s="24"/>
      <c r="J29" s="24"/>
      <c r="K29" s="21"/>
      <c r="L29" s="21"/>
      <c r="M29" s="25"/>
      <c r="N29" s="10"/>
      <c r="R29" s="2"/>
    </row>
    <row r="30" spans="1:18" ht="15.75" customHeight="1">
      <c r="A30" s="177" t="s">
        <v>65</v>
      </c>
      <c r="B30" s="20">
        <f>DATE(2018,7,1)</f>
        <v>43282</v>
      </c>
      <c r="C30" s="21">
        <v>465892</v>
      </c>
      <c r="D30" s="21">
        <v>502707</v>
      </c>
      <c r="E30" s="23">
        <f>(+C30-D30)/D30</f>
        <v>-0.07323351375652219</v>
      </c>
      <c r="F30" s="21">
        <f>+C30-233751</f>
        <v>232141</v>
      </c>
      <c r="G30" s="21">
        <f>+D30-258518</f>
        <v>244189</v>
      </c>
      <c r="H30" s="23">
        <f>(+F30-G30)/G30</f>
        <v>-0.04933883180651053</v>
      </c>
      <c r="I30" s="24">
        <f>K30/C30</f>
        <v>43.31496016244108</v>
      </c>
      <c r="J30" s="24">
        <f>K30/F30</f>
        <v>86.93032863647525</v>
      </c>
      <c r="K30" s="21">
        <v>20180093.42</v>
      </c>
      <c r="L30" s="21">
        <v>21241004.79</v>
      </c>
      <c r="M30" s="25">
        <f>(+K30-L30)/L30</f>
        <v>-0.04994638344507418</v>
      </c>
      <c r="N30" s="10"/>
      <c r="R30" s="2"/>
    </row>
    <row r="31" spans="1:18" ht="15.75" customHeight="1">
      <c r="A31" s="177"/>
      <c r="B31" s="20">
        <f>DATE(2018,8,1)</f>
        <v>43313</v>
      </c>
      <c r="C31" s="21">
        <v>454572</v>
      </c>
      <c r="D31" s="21">
        <v>453491</v>
      </c>
      <c r="E31" s="23">
        <f>(+C31-D31)/D31</f>
        <v>0.0023837297763351422</v>
      </c>
      <c r="F31" s="21">
        <f>+C31-227733</f>
        <v>226839</v>
      </c>
      <c r="G31" s="21">
        <f>+D31-231314</f>
        <v>222177</v>
      </c>
      <c r="H31" s="23">
        <f>(+F31-G31)/G31</f>
        <v>0.020983270095464426</v>
      </c>
      <c r="I31" s="24">
        <f>K31/C31</f>
        <v>44.90025945284795</v>
      </c>
      <c r="J31" s="24">
        <f>K31/F31</f>
        <v>89.97747627171694</v>
      </c>
      <c r="K31" s="21">
        <v>20410400.74</v>
      </c>
      <c r="L31" s="21">
        <v>19752724.44</v>
      </c>
      <c r="M31" s="25">
        <f>(+K31-L31)/L31</f>
        <v>0.03329547283453102</v>
      </c>
      <c r="N31" s="10"/>
      <c r="R31" s="2"/>
    </row>
    <row r="32" spans="1:18" ht="15.75" customHeight="1">
      <c r="A32" s="177"/>
      <c r="B32" s="20">
        <f>DATE(2018,9,1)</f>
        <v>43344</v>
      </c>
      <c r="C32" s="21">
        <v>400695</v>
      </c>
      <c r="D32" s="21">
        <v>440378</v>
      </c>
      <c r="E32" s="23">
        <f>(+C32-D32)/D32</f>
        <v>-0.0901112226314666</v>
      </c>
      <c r="F32" s="21">
        <f>+C32-202275</f>
        <v>198420</v>
      </c>
      <c r="G32" s="21">
        <f>+D32-224768</f>
        <v>215610</v>
      </c>
      <c r="H32" s="23">
        <f>(+F32-G32)/G32</f>
        <v>-0.07972728537637401</v>
      </c>
      <c r="I32" s="24">
        <f>K32/C32</f>
        <v>48.47667926976877</v>
      </c>
      <c r="J32" s="24">
        <f>K32/F32</f>
        <v>97.89518697711924</v>
      </c>
      <c r="K32" s="21">
        <v>19424363</v>
      </c>
      <c r="L32" s="21">
        <v>19993375.76</v>
      </c>
      <c r="M32" s="25">
        <f>(+K32-L32)/L32</f>
        <v>-0.02846006431482192</v>
      </c>
      <c r="N32" s="10"/>
      <c r="R32" s="2"/>
    </row>
    <row r="33" spans="1:18" ht="15.75" customHeight="1">
      <c r="A33" s="177"/>
      <c r="B33" s="20">
        <f>DATE(2018,10,1)</f>
        <v>43374</v>
      </c>
      <c r="C33" s="21">
        <v>385937</v>
      </c>
      <c r="D33" s="21">
        <v>419713</v>
      </c>
      <c r="E33" s="23">
        <f>(+C33-D33)/D33</f>
        <v>-0.0804740382118257</v>
      </c>
      <c r="F33" s="21">
        <f>+C33-196101</f>
        <v>189836</v>
      </c>
      <c r="G33" s="21">
        <f>+D33-218072</f>
        <v>201641</v>
      </c>
      <c r="H33" s="23">
        <f>(+F33-G33)/G33</f>
        <v>-0.05854464121879975</v>
      </c>
      <c r="I33" s="24">
        <f>K33/C33</f>
        <v>47.03609998523075</v>
      </c>
      <c r="J33" s="24">
        <f>K33/F33</f>
        <v>95.6244933521566</v>
      </c>
      <c r="K33" s="21">
        <v>18152971.32</v>
      </c>
      <c r="L33" s="21">
        <v>18150595.49</v>
      </c>
      <c r="M33" s="25">
        <f>(+K33-L33)/L33</f>
        <v>0.00013089542992189383</v>
      </c>
      <c r="N33" s="10"/>
      <c r="R33" s="2"/>
    </row>
    <row r="34" spans="1:18" ht="15.75" thickBot="1">
      <c r="A34" s="38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thickBot="1" thickTop="1">
      <c r="A35" s="39" t="s">
        <v>14</v>
      </c>
      <c r="B35" s="40"/>
      <c r="C35" s="41">
        <f>SUM(C30:C34)</f>
        <v>1707096</v>
      </c>
      <c r="D35" s="41">
        <f>SUM(D30:D34)</f>
        <v>1816289</v>
      </c>
      <c r="E35" s="280">
        <f>(+C35-D35)/D35</f>
        <v>-0.06011873661074862</v>
      </c>
      <c r="F35" s="41">
        <f>SUM(F30:F34)</f>
        <v>847236</v>
      </c>
      <c r="G35" s="41">
        <f>SUM(G30:G34)</f>
        <v>883617</v>
      </c>
      <c r="H35" s="42">
        <f>(+F35-G35)/G35</f>
        <v>-0.04117281582405047</v>
      </c>
      <c r="I35" s="43">
        <f>K35/C35</f>
        <v>45.789942967472236</v>
      </c>
      <c r="J35" s="43">
        <f>K35/F35</f>
        <v>92.26216600805441</v>
      </c>
      <c r="K35" s="41">
        <f>SUM(K30:K34)</f>
        <v>78167828.47999999</v>
      </c>
      <c r="L35" s="41">
        <f>SUM(L30:L34)</f>
        <v>79137700.48</v>
      </c>
      <c r="M35" s="44">
        <f>(+K35-L35)/L35</f>
        <v>-0.01225549888507469</v>
      </c>
      <c r="N35" s="10"/>
      <c r="R35" s="2"/>
    </row>
    <row r="36" spans="1:18" ht="15.75" thickTop="1">
      <c r="A36" s="38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>
      <c r="A37" s="19" t="s">
        <v>16</v>
      </c>
      <c r="B37" s="20">
        <f>DATE(2018,7,1)</f>
        <v>43282</v>
      </c>
      <c r="C37" s="21">
        <v>289167</v>
      </c>
      <c r="D37" s="21">
        <v>332127</v>
      </c>
      <c r="E37" s="23">
        <f>(+C37-D37)/D37</f>
        <v>-0.12934811081303235</v>
      </c>
      <c r="F37" s="21">
        <f>+C37-134357</f>
        <v>154810</v>
      </c>
      <c r="G37" s="21">
        <f>+D37-153372</f>
        <v>178755</v>
      </c>
      <c r="H37" s="23">
        <f>(+F37-G37)/G37</f>
        <v>-0.13395429498475567</v>
      </c>
      <c r="I37" s="24">
        <f>K37/C37</f>
        <v>51.510231907513656</v>
      </c>
      <c r="J37" s="24">
        <f>K37/F37</f>
        <v>96.21509740972806</v>
      </c>
      <c r="K37" s="21">
        <v>14895059.23</v>
      </c>
      <c r="L37" s="21">
        <v>16977556.68</v>
      </c>
      <c r="M37" s="25">
        <f>(+K37-L37)/L37</f>
        <v>-0.12266178751464485</v>
      </c>
      <c r="N37" s="10"/>
      <c r="R37" s="2"/>
    </row>
    <row r="38" spans="1:18" ht="15.75">
      <c r="A38" s="19"/>
      <c r="B38" s="20">
        <f>DATE(2018,8,1)</f>
        <v>43313</v>
      </c>
      <c r="C38" s="21">
        <v>292132</v>
      </c>
      <c r="D38" s="21">
        <v>318460</v>
      </c>
      <c r="E38" s="23">
        <f>(+C38-D38)/D38</f>
        <v>-0.08267286315392829</v>
      </c>
      <c r="F38" s="21">
        <f>+C38-136807</f>
        <v>155325</v>
      </c>
      <c r="G38" s="21">
        <f>+D38-146549</f>
        <v>171911</v>
      </c>
      <c r="H38" s="23">
        <f>(+F38-G38)/G38</f>
        <v>-0.09648015542926282</v>
      </c>
      <c r="I38" s="24">
        <f>K38/C38</f>
        <v>49.94121749756959</v>
      </c>
      <c r="J38" s="24">
        <f>K38/F38</f>
        <v>93.92839369064863</v>
      </c>
      <c r="K38" s="21">
        <v>14589427.75</v>
      </c>
      <c r="L38" s="21">
        <v>15578003.46</v>
      </c>
      <c r="M38" s="25">
        <f>(+K38-L38)/L38</f>
        <v>-0.06345971821988547</v>
      </c>
      <c r="N38" s="10"/>
      <c r="R38" s="2"/>
    </row>
    <row r="39" spans="1:18" ht="15.75">
      <c r="A39" s="19"/>
      <c r="B39" s="20">
        <f>DATE(2018,9,1)</f>
        <v>43344</v>
      </c>
      <c r="C39" s="21">
        <v>292955</v>
      </c>
      <c r="D39" s="21">
        <v>319116</v>
      </c>
      <c r="E39" s="23">
        <f>(+C39-D39)/D39</f>
        <v>-0.08197959362739568</v>
      </c>
      <c r="F39" s="21">
        <f>+C39-135433</f>
        <v>157522</v>
      </c>
      <c r="G39" s="21">
        <f>+D39-146330</f>
        <v>172786</v>
      </c>
      <c r="H39" s="23">
        <f>(+F39-G39)/G39</f>
        <v>-0.08834049054900281</v>
      </c>
      <c r="I39" s="24">
        <f>K39/C39</f>
        <v>51.9962153231725</v>
      </c>
      <c r="J39" s="24">
        <f>K39/F39</f>
        <v>96.70110371884562</v>
      </c>
      <c r="K39" s="21">
        <v>15232551.26</v>
      </c>
      <c r="L39" s="21">
        <v>15578279.97</v>
      </c>
      <c r="M39" s="25">
        <f>(+K39-L39)/L39</f>
        <v>-0.02219299631703826</v>
      </c>
      <c r="N39" s="10"/>
      <c r="R39" s="2"/>
    </row>
    <row r="40" spans="1:18" ht="15.75">
      <c r="A40" s="19"/>
      <c r="B40" s="20">
        <f>DATE(2018,10,1)</f>
        <v>43374</v>
      </c>
      <c r="C40" s="21">
        <v>283107</v>
      </c>
      <c r="D40" s="21">
        <v>307325</v>
      </c>
      <c r="E40" s="23">
        <f>(+C40-D40)/D40</f>
        <v>-0.07880257056861628</v>
      </c>
      <c r="F40" s="21">
        <f>+C40-129714</f>
        <v>153393</v>
      </c>
      <c r="G40" s="21">
        <f>+D40-144149</f>
        <v>163176</v>
      </c>
      <c r="H40" s="23">
        <f>(+F40-G40)/G40</f>
        <v>-0.05995366965730255</v>
      </c>
      <c r="I40" s="24">
        <f>K40/C40</f>
        <v>51.85689548474605</v>
      </c>
      <c r="J40" s="24">
        <f>K40/F40</f>
        <v>95.70873579628797</v>
      </c>
      <c r="K40" s="21">
        <v>14681050.11</v>
      </c>
      <c r="L40" s="21">
        <v>14357615.17</v>
      </c>
      <c r="M40" s="25">
        <f>(+K40-L40)/L40</f>
        <v>0.02252706568398709</v>
      </c>
      <c r="N40" s="10"/>
      <c r="R40" s="2"/>
    </row>
    <row r="41" spans="1:18" ht="15.75" thickBot="1">
      <c r="A41" s="38"/>
      <c r="B41" s="20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thickBot="1" thickTop="1">
      <c r="A42" s="39" t="s">
        <v>14</v>
      </c>
      <c r="B42" s="40"/>
      <c r="C42" s="41">
        <f>SUM(C37:C41)</f>
        <v>1157361</v>
      </c>
      <c r="D42" s="41">
        <f>SUM(D37:D41)</f>
        <v>1277028</v>
      </c>
      <c r="E42" s="281">
        <f>(+C42-D42)/D42</f>
        <v>-0.09370742066736203</v>
      </c>
      <c r="F42" s="47">
        <f>SUM(F37:F41)</f>
        <v>621050</v>
      </c>
      <c r="G42" s="48">
        <f>SUM(G37:G41)</f>
        <v>686628</v>
      </c>
      <c r="H42" s="49">
        <f>(+F42-G42)/G42</f>
        <v>-0.0955073198296603</v>
      </c>
      <c r="I42" s="50">
        <f>K42/C42</f>
        <v>51.322006141558255</v>
      </c>
      <c r="J42" s="51">
        <f>K42/F42</f>
        <v>95.6413949762499</v>
      </c>
      <c r="K42" s="48">
        <f>SUM(K37:K41)</f>
        <v>59398088.35</v>
      </c>
      <c r="L42" s="47">
        <f>SUM(L37:L41)</f>
        <v>62491455.28</v>
      </c>
      <c r="M42" s="44">
        <f>(+K42-L42)/L42</f>
        <v>-0.0495006383855172</v>
      </c>
      <c r="N42" s="10"/>
      <c r="R42" s="2"/>
    </row>
    <row r="43" spans="1:18" ht="15.75" customHeight="1" thickTop="1">
      <c r="A43" s="273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>
      <c r="A44" s="274" t="s">
        <v>66</v>
      </c>
      <c r="B44" s="20">
        <f>DATE(2018,7,1)</f>
        <v>43282</v>
      </c>
      <c r="C44" s="21">
        <v>129160</v>
      </c>
      <c r="D44" s="21">
        <v>155680</v>
      </c>
      <c r="E44" s="23">
        <f>(+C44-D44)/D44</f>
        <v>-0.17034943473792394</v>
      </c>
      <c r="F44" s="21">
        <f>+C44-62596</f>
        <v>66564</v>
      </c>
      <c r="G44" s="21">
        <f>+D44-76075</f>
        <v>79605</v>
      </c>
      <c r="H44" s="23">
        <f>(+F44-G44)/G44</f>
        <v>-0.16382136800452232</v>
      </c>
      <c r="I44" s="24">
        <f>K44/C44</f>
        <v>40.40641491173738</v>
      </c>
      <c r="J44" s="24">
        <f>K44/F44</f>
        <v>78.40413061114116</v>
      </c>
      <c r="K44" s="21">
        <v>5218892.55</v>
      </c>
      <c r="L44" s="21">
        <v>5695517.98</v>
      </c>
      <c r="M44" s="25">
        <f>(+K44-L44)/L44</f>
        <v>-0.0836842990705475</v>
      </c>
      <c r="N44" s="10"/>
      <c r="R44" s="2"/>
    </row>
    <row r="45" spans="1:18" ht="15.75">
      <c r="A45" s="274"/>
      <c r="B45" s="20">
        <f>DATE(2018,8,1)</f>
        <v>43313</v>
      </c>
      <c r="C45" s="21">
        <v>120860</v>
      </c>
      <c r="D45" s="21">
        <v>137297</v>
      </c>
      <c r="E45" s="23">
        <f>(+C45-D45)/D45</f>
        <v>-0.11971856631973021</v>
      </c>
      <c r="F45" s="21">
        <f>+C45-58336</f>
        <v>62524</v>
      </c>
      <c r="G45" s="21">
        <f>+D45-65122</f>
        <v>72175</v>
      </c>
      <c r="H45" s="23">
        <f>(+F45-G45)/G45</f>
        <v>-0.13371666089366124</v>
      </c>
      <c r="I45" s="24">
        <f>K45/C45</f>
        <v>43.54834246235313</v>
      </c>
      <c r="J45" s="24">
        <f>K45/F45</f>
        <v>84.17971770839998</v>
      </c>
      <c r="K45" s="21">
        <v>5263252.67</v>
      </c>
      <c r="L45" s="21">
        <v>5143794.97</v>
      </c>
      <c r="M45" s="25">
        <f>(+K45-L45)/L45</f>
        <v>0.023223651155753627</v>
      </c>
      <c r="N45" s="10"/>
      <c r="R45" s="2"/>
    </row>
    <row r="46" spans="1:18" ht="15.75">
      <c r="A46" s="274"/>
      <c r="B46" s="20">
        <f>DATE(2018,9,1)</f>
        <v>43344</v>
      </c>
      <c r="C46" s="21">
        <v>129571</v>
      </c>
      <c r="D46" s="21">
        <v>151497</v>
      </c>
      <c r="E46" s="23">
        <f>(+C46-D46)/D46</f>
        <v>-0.14472893852683552</v>
      </c>
      <c r="F46" s="21">
        <f>+C46-62477</f>
        <v>67094</v>
      </c>
      <c r="G46" s="21">
        <f>+D46-72439</f>
        <v>79058</v>
      </c>
      <c r="H46" s="23">
        <f>(+F46-G46)/G46</f>
        <v>-0.15133193351716462</v>
      </c>
      <c r="I46" s="24">
        <f>K46/C46</f>
        <v>39.03113134883577</v>
      </c>
      <c r="J46" s="24">
        <f>K46/F46</f>
        <v>75.37637821563776</v>
      </c>
      <c r="K46" s="21">
        <v>5057302.72</v>
      </c>
      <c r="L46" s="21">
        <v>5888747.75</v>
      </c>
      <c r="M46" s="25">
        <f>(+K46-L46)/L46</f>
        <v>-0.14119216262914305</v>
      </c>
      <c r="N46" s="10"/>
      <c r="R46" s="2"/>
    </row>
    <row r="47" spans="1:18" ht="15.75">
      <c r="A47" s="274"/>
      <c r="B47" s="20">
        <f>DATE(2018,10,1)</f>
        <v>43374</v>
      </c>
      <c r="C47" s="21">
        <v>116239</v>
      </c>
      <c r="D47" s="21">
        <v>146324</v>
      </c>
      <c r="E47" s="23">
        <f>(+C47-D47)/D47</f>
        <v>-0.20560536890735628</v>
      </c>
      <c r="F47" s="21">
        <f>+C47-55540</f>
        <v>60699</v>
      </c>
      <c r="G47" s="21">
        <f>+D47-70503</f>
        <v>75821</v>
      </c>
      <c r="H47" s="23">
        <f>(+F47-G47)/G47</f>
        <v>-0.19944342596378312</v>
      </c>
      <c r="I47" s="24">
        <f>K47/C47</f>
        <v>42.495112999939785</v>
      </c>
      <c r="J47" s="24">
        <f>K47/F47</f>
        <v>81.37843193462825</v>
      </c>
      <c r="K47" s="21">
        <v>4939589.44</v>
      </c>
      <c r="L47" s="21">
        <v>5166610</v>
      </c>
      <c r="M47" s="25">
        <f>(+K47-L47)/L47</f>
        <v>-0.04393994514778541</v>
      </c>
      <c r="N47" s="10"/>
      <c r="R47" s="2"/>
    </row>
    <row r="48" spans="1:18" ht="15.75" customHeight="1" thickBot="1">
      <c r="A48" s="19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52"/>
      <c r="C49" s="47">
        <f>SUM(C44:C48)</f>
        <v>495830</v>
      </c>
      <c r="D49" s="48">
        <f>SUM(D44:D48)</f>
        <v>590798</v>
      </c>
      <c r="E49" s="281">
        <f>(+C49-D49)/D49</f>
        <v>-0.16074529703892024</v>
      </c>
      <c r="F49" s="48">
        <f>SUM(F44:F48)</f>
        <v>256881</v>
      </c>
      <c r="G49" s="47">
        <f>SUM(G44:G48)</f>
        <v>306659</v>
      </c>
      <c r="H49" s="46">
        <f>(+F49-G49)/G49</f>
        <v>-0.162323623307974</v>
      </c>
      <c r="I49" s="51">
        <f>K49/C49</f>
        <v>41.302537926305384</v>
      </c>
      <c r="J49" s="50">
        <f>K49/F49</f>
        <v>79.7218843744769</v>
      </c>
      <c r="K49" s="47">
        <f>SUM(K44:K48)</f>
        <v>20479037.38</v>
      </c>
      <c r="L49" s="48">
        <f>SUM(L44:L48)</f>
        <v>21894670.7</v>
      </c>
      <c r="M49" s="44">
        <f>(+K49-L49)/L49</f>
        <v>-0.06465652484099706</v>
      </c>
      <c r="N49" s="10"/>
      <c r="R49" s="2"/>
    </row>
    <row r="50" spans="1:18" ht="15.75" customHeight="1" thickTop="1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>
      <c r="A51" s="19" t="s">
        <v>17</v>
      </c>
      <c r="B51" s="20">
        <f>DATE(2018,7,1)</f>
        <v>43282</v>
      </c>
      <c r="C51" s="21">
        <v>164240</v>
      </c>
      <c r="D51" s="21">
        <v>176619</v>
      </c>
      <c r="E51" s="23">
        <f>(+C51-D51)/D51</f>
        <v>-0.07008872205142141</v>
      </c>
      <c r="F51" s="21">
        <f>+C51-78084</f>
        <v>86156</v>
      </c>
      <c r="G51" s="21">
        <f>+D51-82680</f>
        <v>93939</v>
      </c>
      <c r="H51" s="23">
        <f>(+F51-G51)/G51</f>
        <v>-0.08285163776493257</v>
      </c>
      <c r="I51" s="24">
        <f>K51/C51</f>
        <v>35.1700548587433</v>
      </c>
      <c r="J51" s="24">
        <f>K51/F51</f>
        <v>67.04500916941362</v>
      </c>
      <c r="K51" s="21">
        <v>5776329.81</v>
      </c>
      <c r="L51" s="21">
        <v>6184772.92</v>
      </c>
      <c r="M51" s="25">
        <f>(+K51-L51)/L51</f>
        <v>-0.0660401142100461</v>
      </c>
      <c r="N51" s="10"/>
      <c r="R51" s="2"/>
    </row>
    <row r="52" spans="1:18" ht="15.75">
      <c r="A52" s="19"/>
      <c r="B52" s="20">
        <f>DATE(2018,8,1)</f>
        <v>43313</v>
      </c>
      <c r="C52" s="21">
        <v>161125</v>
      </c>
      <c r="D52" s="21">
        <v>166602</v>
      </c>
      <c r="E52" s="23">
        <f>(+C52-D52)/D52</f>
        <v>-0.03287475540509718</v>
      </c>
      <c r="F52" s="21">
        <f>+C52-76425</f>
        <v>84700</v>
      </c>
      <c r="G52" s="21">
        <f>+D52-77233</f>
        <v>89369</v>
      </c>
      <c r="H52" s="23">
        <f>(+F52-G52)/G52</f>
        <v>-0.05224406673455001</v>
      </c>
      <c r="I52" s="24">
        <f>K52/C52</f>
        <v>34.524392986811485</v>
      </c>
      <c r="J52" s="24">
        <f>K52/F52</f>
        <v>65.67583022432113</v>
      </c>
      <c r="K52" s="21">
        <v>5562742.82</v>
      </c>
      <c r="L52" s="21">
        <v>5912368.33</v>
      </c>
      <c r="M52" s="25">
        <f>(+K52-L52)/L52</f>
        <v>-0.05913459556062533</v>
      </c>
      <c r="N52" s="10"/>
      <c r="R52" s="2"/>
    </row>
    <row r="53" spans="1:18" ht="15.75">
      <c r="A53" s="19"/>
      <c r="B53" s="20">
        <f>DATE(2018,9,1)</f>
        <v>43344</v>
      </c>
      <c r="C53" s="21">
        <v>154193</v>
      </c>
      <c r="D53" s="21">
        <v>169194</v>
      </c>
      <c r="E53" s="23">
        <f>(+C53-D53)/D53</f>
        <v>-0.08866153646110382</v>
      </c>
      <c r="F53" s="21">
        <f>+C53-72768</f>
        <v>81425</v>
      </c>
      <c r="G53" s="21">
        <f>+D53-79368</f>
        <v>89826</v>
      </c>
      <c r="H53" s="23">
        <f>(+F53-G53)/G53</f>
        <v>-0.09352525994700867</v>
      </c>
      <c r="I53" s="24">
        <f>K53/C53</f>
        <v>34.86135103409364</v>
      </c>
      <c r="J53" s="24">
        <f>K53/F53</f>
        <v>66.01628860914953</v>
      </c>
      <c r="K53" s="21">
        <v>5375376.3</v>
      </c>
      <c r="L53" s="21">
        <v>5903665.74</v>
      </c>
      <c r="M53" s="25">
        <f>(+K53-L53)/L53</f>
        <v>-0.08948498496800064</v>
      </c>
      <c r="N53" s="10"/>
      <c r="R53" s="2"/>
    </row>
    <row r="54" spans="1:18" ht="15.75">
      <c r="A54" s="19"/>
      <c r="B54" s="20">
        <f>DATE(2018,10,1)</f>
        <v>43374</v>
      </c>
      <c r="C54" s="21">
        <v>153175</v>
      </c>
      <c r="D54" s="21">
        <v>167767</v>
      </c>
      <c r="E54" s="23">
        <f>(+C54-D54)/D54</f>
        <v>-0.08697777274434186</v>
      </c>
      <c r="F54" s="21">
        <f>+C54-73639</f>
        <v>79536</v>
      </c>
      <c r="G54" s="21">
        <f>+D54-77884</f>
        <v>89883</v>
      </c>
      <c r="H54" s="23">
        <f>(+F54-G54)/G54</f>
        <v>-0.11511631787991056</v>
      </c>
      <c r="I54" s="24">
        <f>K54/C54</f>
        <v>34.3159053370328</v>
      </c>
      <c r="J54" s="24">
        <f>K54/F54</f>
        <v>66.08754274793804</v>
      </c>
      <c r="K54" s="21">
        <v>5256338.8</v>
      </c>
      <c r="L54" s="21">
        <v>5780372.56</v>
      </c>
      <c r="M54" s="25">
        <f>(+K54-L54)/L54</f>
        <v>-0.09065743679331283</v>
      </c>
      <c r="N54" s="10"/>
      <c r="R54" s="2"/>
    </row>
    <row r="55" spans="1:18" ht="15.75" customHeight="1" thickBot="1">
      <c r="A55" s="19"/>
      <c r="B55" s="45"/>
      <c r="C55" s="21"/>
      <c r="D55" s="21"/>
      <c r="E55" s="23"/>
      <c r="F55" s="21"/>
      <c r="G55" s="21"/>
      <c r="H55" s="23"/>
      <c r="I55" s="24"/>
      <c r="J55" s="24"/>
      <c r="K55" s="21"/>
      <c r="L55" s="21"/>
      <c r="M55" s="25"/>
      <c r="N55" s="10"/>
      <c r="R55" s="2"/>
    </row>
    <row r="56" spans="1:18" ht="17.25" customHeight="1" thickBot="1" thickTop="1">
      <c r="A56" s="39" t="s">
        <v>14</v>
      </c>
      <c r="B56" s="52"/>
      <c r="C56" s="47">
        <f>SUM(C51:C55)</f>
        <v>632733</v>
      </c>
      <c r="D56" s="48">
        <f>SUM(D51:D55)</f>
        <v>680182</v>
      </c>
      <c r="E56" s="281">
        <f>(+C56-D56)/D56</f>
        <v>-0.06975927031294565</v>
      </c>
      <c r="F56" s="48">
        <f>SUM(F51:F55)</f>
        <v>331817</v>
      </c>
      <c r="G56" s="47">
        <f>SUM(G51:G55)</f>
        <v>363017</v>
      </c>
      <c r="H56" s="53">
        <f>(+F56-G56)/G56</f>
        <v>-0.08594638818567725</v>
      </c>
      <c r="I56" s="51">
        <f>K56/C56</f>
        <v>34.72363181626373</v>
      </c>
      <c r="J56" s="50">
        <f>K56/F56</f>
        <v>66.21356871408035</v>
      </c>
      <c r="K56" s="47">
        <f>SUM(K51:K55)</f>
        <v>21970787.73</v>
      </c>
      <c r="L56" s="48">
        <f>SUM(L51:L55)</f>
        <v>23781179.55</v>
      </c>
      <c r="M56" s="44">
        <f>(+K56-L56)/L56</f>
        <v>-0.0761270826030158</v>
      </c>
      <c r="N56" s="10"/>
      <c r="R56" s="2"/>
    </row>
    <row r="57" spans="1:18" ht="15.75" customHeight="1" thickTop="1">
      <c r="A57" s="19"/>
      <c r="B57" s="45"/>
      <c r="C57" s="21"/>
      <c r="D57" s="21"/>
      <c r="E57" s="23"/>
      <c r="F57" s="21"/>
      <c r="G57" s="21"/>
      <c r="H57" s="23"/>
      <c r="I57" s="24"/>
      <c r="J57" s="24"/>
      <c r="K57" s="21"/>
      <c r="L57" s="21"/>
      <c r="M57" s="25"/>
      <c r="N57" s="10"/>
      <c r="R57" s="2"/>
    </row>
    <row r="58" spans="1:18" ht="15.75" customHeight="1">
      <c r="A58" s="19" t="s">
        <v>67</v>
      </c>
      <c r="B58" s="20">
        <f>DATE(2018,7,1)</f>
        <v>43282</v>
      </c>
      <c r="C58" s="21">
        <v>388301</v>
      </c>
      <c r="D58" s="21">
        <v>366754</v>
      </c>
      <c r="E58" s="23">
        <f>(+C58-D58)/D58</f>
        <v>0.05875055214121727</v>
      </c>
      <c r="F58" s="21">
        <f>+C58-165452</f>
        <v>222849</v>
      </c>
      <c r="G58" s="21">
        <f>+D58-155073</f>
        <v>211681</v>
      </c>
      <c r="H58" s="23">
        <f>(+F58-G58)/G58</f>
        <v>0.052758632092629945</v>
      </c>
      <c r="I58" s="24">
        <f>K58/C58</f>
        <v>34.577033641427654</v>
      </c>
      <c r="J58" s="24">
        <f>K58/F58</f>
        <v>60.24840470453087</v>
      </c>
      <c r="K58" s="21">
        <v>13426296.74</v>
      </c>
      <c r="L58" s="21">
        <v>12532234.06</v>
      </c>
      <c r="M58" s="25">
        <f>(+K58-L58)/L58</f>
        <v>0.0713410454767711</v>
      </c>
      <c r="N58" s="10"/>
      <c r="R58" s="2"/>
    </row>
    <row r="59" spans="1:18" ht="15.75" customHeight="1">
      <c r="A59" s="19"/>
      <c r="B59" s="20">
        <f>DATE(2018,8,1)</f>
        <v>43313</v>
      </c>
      <c r="C59" s="21">
        <v>375147</v>
      </c>
      <c r="D59" s="21">
        <v>332593</v>
      </c>
      <c r="E59" s="23">
        <f>(+C59-D59)/D59</f>
        <v>0.12794616844010548</v>
      </c>
      <c r="F59" s="21">
        <f>+C59-161826</f>
        <v>213321</v>
      </c>
      <c r="G59" s="21">
        <f>+D59-143450</f>
        <v>189143</v>
      </c>
      <c r="H59" s="23">
        <f>(+F59-G59)/G59</f>
        <v>0.12782920858821104</v>
      </c>
      <c r="I59" s="24">
        <f>K59/C59</f>
        <v>37.3363349833532</v>
      </c>
      <c r="J59" s="24">
        <f>K59/F59</f>
        <v>65.6597993634007</v>
      </c>
      <c r="K59" s="21">
        <v>14006614.06</v>
      </c>
      <c r="L59" s="21">
        <v>12428268.71</v>
      </c>
      <c r="M59" s="25">
        <f>(+K59-L59)/L59</f>
        <v>0.1269963972319037</v>
      </c>
      <c r="N59" s="10"/>
      <c r="R59" s="2"/>
    </row>
    <row r="60" spans="1:18" ht="15.75" customHeight="1">
      <c r="A60" s="19"/>
      <c r="B60" s="20">
        <f>DATE(2018,9,1)</f>
        <v>43344</v>
      </c>
      <c r="C60" s="21">
        <v>360341</v>
      </c>
      <c r="D60" s="21">
        <v>334430</v>
      </c>
      <c r="E60" s="23">
        <f>(+C60-D60)/D60</f>
        <v>0.0774780970606704</v>
      </c>
      <c r="F60" s="21">
        <f>+C60-155599</f>
        <v>204742</v>
      </c>
      <c r="G60" s="21">
        <f>+D60-144819</f>
        <v>189611</v>
      </c>
      <c r="H60" s="23">
        <f>(+F60-G60)/G60</f>
        <v>0.07980022256092738</v>
      </c>
      <c r="I60" s="24">
        <f>K60/C60</f>
        <v>36.88886163384127</v>
      </c>
      <c r="J60" s="24">
        <f>K60/F60</f>
        <v>64.92351002725381</v>
      </c>
      <c r="K60" s="21">
        <v>13292569.29</v>
      </c>
      <c r="L60" s="21">
        <v>11826002.08</v>
      </c>
      <c r="M60" s="25">
        <f>(+K60-L60)/L60</f>
        <v>0.12401208794646171</v>
      </c>
      <c r="N60" s="10"/>
      <c r="R60" s="2"/>
    </row>
    <row r="61" spans="1:18" ht="15.75" customHeight="1">
      <c r="A61" s="19"/>
      <c r="B61" s="20">
        <f>DATE(2018,10,1)</f>
        <v>43374</v>
      </c>
      <c r="C61" s="21">
        <v>333723</v>
      </c>
      <c r="D61" s="21">
        <v>316813</v>
      </c>
      <c r="E61" s="23">
        <f>(+C61-D61)/D61</f>
        <v>0.053375334976784414</v>
      </c>
      <c r="F61" s="21">
        <f>+C61-146807</f>
        <v>186916</v>
      </c>
      <c r="G61" s="21">
        <f>+D61-139997</f>
        <v>176816</v>
      </c>
      <c r="H61" s="23">
        <f>(+F61-G61)/G61</f>
        <v>0.05712152746357796</v>
      </c>
      <c r="I61" s="24">
        <f>K61/C61</f>
        <v>39.84889462218666</v>
      </c>
      <c r="J61" s="24">
        <f>K61/F61</f>
        <v>71.14689304286418</v>
      </c>
      <c r="K61" s="21">
        <v>13298492.66</v>
      </c>
      <c r="L61" s="21">
        <v>11196087.95</v>
      </c>
      <c r="M61" s="25">
        <f>(+K61-L61)/L61</f>
        <v>0.1877802960631442</v>
      </c>
      <c r="N61" s="10"/>
      <c r="R61" s="2"/>
    </row>
    <row r="62" spans="1:18" ht="15.75" customHeight="1" thickBot="1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Bot="1" thickTop="1">
      <c r="A63" s="39" t="s">
        <v>14</v>
      </c>
      <c r="B63" s="40"/>
      <c r="C63" s="41">
        <f>SUM(C58:C62)</f>
        <v>1457512</v>
      </c>
      <c r="D63" s="41">
        <f>SUM(D58:D62)</f>
        <v>1350590</v>
      </c>
      <c r="E63" s="280">
        <f>(+C63-D63)/D63</f>
        <v>0.07916688262166904</v>
      </c>
      <c r="F63" s="41">
        <f>SUM(F58:F62)</f>
        <v>827828</v>
      </c>
      <c r="G63" s="41">
        <f>SUM(G58:G62)</f>
        <v>767251</v>
      </c>
      <c r="H63" s="42">
        <f>(+F63-G63)/G63</f>
        <v>0.0789533021136499</v>
      </c>
      <c r="I63" s="43">
        <f>K63/C63</f>
        <v>37.065885392367264</v>
      </c>
      <c r="J63" s="43">
        <f>K63/F63</f>
        <v>65.25990030537744</v>
      </c>
      <c r="K63" s="41">
        <f>SUM(K58:K62)</f>
        <v>54023972.75</v>
      </c>
      <c r="L63" s="41">
        <f>SUM(L58:L62)</f>
        <v>47982592.8</v>
      </c>
      <c r="M63" s="44">
        <f>(+K63-L63)/L63</f>
        <v>0.12590774273456942</v>
      </c>
      <c r="N63" s="10"/>
      <c r="R63" s="2"/>
    </row>
    <row r="64" spans="1:18" ht="15.75" customHeight="1" thickTop="1">
      <c r="A64" s="54"/>
      <c r="B64" s="55"/>
      <c r="C64" s="55"/>
      <c r="D64" s="55"/>
      <c r="E64" s="56"/>
      <c r="F64" s="55"/>
      <c r="G64" s="55"/>
      <c r="H64" s="56"/>
      <c r="I64" s="55"/>
      <c r="J64" s="55"/>
      <c r="K64" s="196"/>
      <c r="L64" s="196"/>
      <c r="M64" s="57"/>
      <c r="N64" s="10"/>
      <c r="R64" s="2"/>
    </row>
    <row r="65" spans="1:18" ht="15.75" customHeight="1">
      <c r="A65" s="19" t="s">
        <v>18</v>
      </c>
      <c r="B65" s="20">
        <f>DATE(2018,7,1)</f>
        <v>43282</v>
      </c>
      <c r="C65" s="21">
        <v>413730</v>
      </c>
      <c r="D65" s="21">
        <v>402324</v>
      </c>
      <c r="E65" s="23">
        <f>(+C65-D65)/D65</f>
        <v>0.02835028484505026</v>
      </c>
      <c r="F65" s="21">
        <f>+C65-202461</f>
        <v>211269</v>
      </c>
      <c r="G65" s="21">
        <f>+D65-196212</f>
        <v>206112</v>
      </c>
      <c r="H65" s="23">
        <f>(+F65-G65)/G65</f>
        <v>0.025020377270610152</v>
      </c>
      <c r="I65" s="24">
        <f>K65/C65</f>
        <v>42.61081449254345</v>
      </c>
      <c r="J65" s="24">
        <f>K65/F65</f>
        <v>83.44514472071151</v>
      </c>
      <c r="K65" s="21">
        <v>17629372.28</v>
      </c>
      <c r="L65" s="21">
        <v>16341217.17</v>
      </c>
      <c r="M65" s="25">
        <f>(+K65-L65)/L65</f>
        <v>0.07882859009822468</v>
      </c>
      <c r="N65" s="10"/>
      <c r="R65" s="2"/>
    </row>
    <row r="66" spans="1:18" ht="15.75" customHeight="1">
      <c r="A66" s="19"/>
      <c r="B66" s="20">
        <f>DATE(2018,8,1)</f>
        <v>43313</v>
      </c>
      <c r="C66" s="21">
        <v>405834</v>
      </c>
      <c r="D66" s="21">
        <v>379939</v>
      </c>
      <c r="E66" s="23">
        <f>(+C66-D66)/D66</f>
        <v>0.06815567762193404</v>
      </c>
      <c r="F66" s="21">
        <f>+C66-195636</f>
        <v>210198</v>
      </c>
      <c r="G66" s="21">
        <f>+D66-185707</f>
        <v>194232</v>
      </c>
      <c r="H66" s="23">
        <f>(+F66-G66)/G66</f>
        <v>0.08220066724329668</v>
      </c>
      <c r="I66" s="24">
        <f>K66/C66</f>
        <v>43.859896460129015</v>
      </c>
      <c r="J66" s="24">
        <f>K66/F66</f>
        <v>84.68128726248584</v>
      </c>
      <c r="K66" s="21">
        <v>17799837.22</v>
      </c>
      <c r="L66" s="21">
        <v>15315276.05</v>
      </c>
      <c r="M66" s="25">
        <f>(+K66-L66)/L66</f>
        <v>0.1622276452535766</v>
      </c>
      <c r="N66" s="10"/>
      <c r="R66" s="2"/>
    </row>
    <row r="67" spans="1:18" ht="15.75" customHeight="1">
      <c r="A67" s="19"/>
      <c r="B67" s="20">
        <f>DATE(2018,9,1)</f>
        <v>43344</v>
      </c>
      <c r="C67" s="21">
        <v>386512</v>
      </c>
      <c r="D67" s="21">
        <v>383853</v>
      </c>
      <c r="E67" s="23">
        <f>(+C67-D67)/D67</f>
        <v>0.006927130958986904</v>
      </c>
      <c r="F67" s="21">
        <f>+C67-188889</f>
        <v>197623</v>
      </c>
      <c r="G67" s="21">
        <f>+D67-186182</f>
        <v>197671</v>
      </c>
      <c r="H67" s="23">
        <f>(+F67-G67)/G67</f>
        <v>-0.00024282772890307634</v>
      </c>
      <c r="I67" s="24">
        <f>K67/C67</f>
        <v>42.94863988698928</v>
      </c>
      <c r="J67" s="24">
        <f>K67/F67</f>
        <v>83.99915343861797</v>
      </c>
      <c r="K67" s="21">
        <v>16600164.7</v>
      </c>
      <c r="L67" s="21">
        <v>16031264.69</v>
      </c>
      <c r="M67" s="25">
        <f>(+K67-L67)/L67</f>
        <v>0.03548690767702618</v>
      </c>
      <c r="N67" s="10"/>
      <c r="R67" s="2"/>
    </row>
    <row r="68" spans="1:18" ht="15.75" customHeight="1">
      <c r="A68" s="19"/>
      <c r="B68" s="20">
        <f>DATE(2018,10,1)</f>
        <v>43374</v>
      </c>
      <c r="C68" s="21">
        <v>353857</v>
      </c>
      <c r="D68" s="21">
        <v>372927</v>
      </c>
      <c r="E68" s="23">
        <f>(+C68-D68)/D68</f>
        <v>-0.051136013214382436</v>
      </c>
      <c r="F68" s="21">
        <f>+C68-169336</f>
        <v>184521</v>
      </c>
      <c r="G68" s="21">
        <f>+D68-185932</f>
        <v>186995</v>
      </c>
      <c r="H68" s="23">
        <f>(+F68-G68)/G68</f>
        <v>-0.013230300275408433</v>
      </c>
      <c r="I68" s="24">
        <f>K68/C68</f>
        <v>42.600034901104124</v>
      </c>
      <c r="J68" s="24">
        <f>K68/F68</f>
        <v>81.69433587504946</v>
      </c>
      <c r="K68" s="21">
        <v>15074320.55</v>
      </c>
      <c r="L68" s="21">
        <v>15264818.06</v>
      </c>
      <c r="M68" s="25">
        <f>(+K68-L68)/L68</f>
        <v>-0.012479513954979937</v>
      </c>
      <c r="N68" s="10"/>
      <c r="R68" s="2"/>
    </row>
    <row r="69" spans="1:18" ht="15.75" customHeight="1" thickBot="1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25" thickBot="1" thickTop="1">
      <c r="A70" s="39" t="s">
        <v>14</v>
      </c>
      <c r="B70" s="40"/>
      <c r="C70" s="41">
        <f>SUM(C65:C69)</f>
        <v>1559933</v>
      </c>
      <c r="D70" s="41">
        <f>SUM(D65:D69)</f>
        <v>1539043</v>
      </c>
      <c r="E70" s="280">
        <f>(+C70-D70)/D70</f>
        <v>0.013573369944829352</v>
      </c>
      <c r="F70" s="41">
        <f>SUM(F65:F69)</f>
        <v>803611</v>
      </c>
      <c r="G70" s="41">
        <f>SUM(G65:G69)</f>
        <v>785010</v>
      </c>
      <c r="H70" s="42">
        <f>(+F70-G70)/G70</f>
        <v>0.023695239551088522</v>
      </c>
      <c r="I70" s="43">
        <f>K70/C70</f>
        <v>43.01703646887398</v>
      </c>
      <c r="J70" s="43">
        <f>K70/F70</f>
        <v>83.50270808886388</v>
      </c>
      <c r="K70" s="41">
        <f>SUM(K65:K69)</f>
        <v>67103694.75</v>
      </c>
      <c r="L70" s="41">
        <f>SUM(L65:L69)</f>
        <v>62952575.97</v>
      </c>
      <c r="M70" s="44">
        <f>(+K70-L70)/L70</f>
        <v>0.065940411747062</v>
      </c>
      <c r="N70" s="10"/>
      <c r="R70" s="2"/>
    </row>
    <row r="71" spans="1:18" ht="15.75" customHeight="1" thickTop="1">
      <c r="A71" s="54"/>
      <c r="B71" s="55"/>
      <c r="C71" s="55"/>
      <c r="D71" s="55"/>
      <c r="E71" s="56"/>
      <c r="F71" s="55"/>
      <c r="G71" s="55"/>
      <c r="H71" s="56"/>
      <c r="I71" s="55"/>
      <c r="J71" s="55"/>
      <c r="K71" s="196"/>
      <c r="L71" s="196"/>
      <c r="M71" s="57"/>
      <c r="N71" s="10"/>
      <c r="R71" s="2"/>
    </row>
    <row r="72" spans="1:18" ht="15.75" customHeight="1">
      <c r="A72" s="19" t="s">
        <v>58</v>
      </c>
      <c r="B72" s="20">
        <f>DATE(2018,7,1)</f>
        <v>43282</v>
      </c>
      <c r="C72" s="21">
        <v>437213</v>
      </c>
      <c r="D72" s="21">
        <v>487621</v>
      </c>
      <c r="E72" s="23">
        <f>(+C72-D72)/D72</f>
        <v>-0.1033753673447206</v>
      </c>
      <c r="F72" s="21">
        <f>+C72-202829</f>
        <v>234384</v>
      </c>
      <c r="G72" s="21">
        <f>+D72-237847</f>
        <v>249774</v>
      </c>
      <c r="H72" s="23">
        <f>(+F72-G72)/G72</f>
        <v>-0.061615700593336376</v>
      </c>
      <c r="I72" s="24">
        <f>K72/C72</f>
        <v>44.80050348457159</v>
      </c>
      <c r="J72" s="24">
        <f>K72/F72</f>
        <v>83.56953772441805</v>
      </c>
      <c r="K72" s="21">
        <v>19587362.53</v>
      </c>
      <c r="L72" s="21">
        <v>19804673.68</v>
      </c>
      <c r="M72" s="25">
        <f>(+K72-L72)/L72</f>
        <v>-0.010972720556332768</v>
      </c>
      <c r="N72" s="10"/>
      <c r="R72" s="2"/>
    </row>
    <row r="73" spans="1:18" ht="15.75" customHeight="1">
      <c r="A73" s="19"/>
      <c r="B73" s="20">
        <f>DATE(2018,8,1)</f>
        <v>43313</v>
      </c>
      <c r="C73" s="21">
        <v>428435</v>
      </c>
      <c r="D73" s="21">
        <v>450476</v>
      </c>
      <c r="E73" s="23">
        <f>(+C73-D73)/D73</f>
        <v>-0.04892824478995551</v>
      </c>
      <c r="F73" s="21">
        <f>+C73-198491</f>
        <v>229944</v>
      </c>
      <c r="G73" s="21">
        <f>+D73-212152</f>
        <v>238324</v>
      </c>
      <c r="H73" s="23">
        <f>(+F73-G73)/G73</f>
        <v>-0.03516221614273007</v>
      </c>
      <c r="I73" s="24">
        <f>K73/C73</f>
        <v>44.51786726107811</v>
      </c>
      <c r="J73" s="24">
        <f>K73/F73</f>
        <v>82.94633676025468</v>
      </c>
      <c r="K73" s="21">
        <v>19073012.46</v>
      </c>
      <c r="L73" s="21">
        <v>18591700.17</v>
      </c>
      <c r="M73" s="25">
        <f>(+K73-L73)/L73</f>
        <v>0.025888557022700688</v>
      </c>
      <c r="N73" s="10"/>
      <c r="R73" s="2"/>
    </row>
    <row r="74" spans="1:18" ht="15.75" customHeight="1">
      <c r="A74" s="19"/>
      <c r="B74" s="20">
        <f>DATE(2018,9,1)</f>
        <v>43344</v>
      </c>
      <c r="C74" s="21">
        <v>430488</v>
      </c>
      <c r="D74" s="21">
        <v>460463</v>
      </c>
      <c r="E74" s="23">
        <f>(+C74-D74)/D74</f>
        <v>-0.06509752140780041</v>
      </c>
      <c r="F74" s="21">
        <f>+C74-198602</f>
        <v>231886</v>
      </c>
      <c r="G74" s="21">
        <f>+D74-224219</f>
        <v>236244</v>
      </c>
      <c r="H74" s="23">
        <f>(+F74-G74)/G74</f>
        <v>-0.01844702934254415</v>
      </c>
      <c r="I74" s="24">
        <f>K74/C74</f>
        <v>42.2885967785397</v>
      </c>
      <c r="J74" s="24">
        <f>K74/F74</f>
        <v>78.50725550486014</v>
      </c>
      <c r="K74" s="21">
        <v>18204733.45</v>
      </c>
      <c r="L74" s="21">
        <v>18717604.13</v>
      </c>
      <c r="M74" s="25">
        <f>(+K74-L74)/L74</f>
        <v>-0.027400444866658248</v>
      </c>
      <c r="N74" s="10"/>
      <c r="R74" s="2"/>
    </row>
    <row r="75" spans="1:18" ht="15.75" customHeight="1">
      <c r="A75" s="19"/>
      <c r="B75" s="20">
        <f>DATE(2018,10,1)</f>
        <v>43374</v>
      </c>
      <c r="C75" s="21">
        <v>407384</v>
      </c>
      <c r="D75" s="21">
        <v>417011</v>
      </c>
      <c r="E75" s="23">
        <f>(+C75-D75)/D75</f>
        <v>-0.023085721959372776</v>
      </c>
      <c r="F75" s="21">
        <f>+C75-184682</f>
        <v>222702</v>
      </c>
      <c r="G75" s="21">
        <f>+D75-199528</f>
        <v>217483</v>
      </c>
      <c r="H75" s="23">
        <f>(+F75-G75)/G75</f>
        <v>0.023997277948161467</v>
      </c>
      <c r="I75" s="24">
        <f>K75/C75</f>
        <v>41.13746182962512</v>
      </c>
      <c r="J75" s="24">
        <f>K75/F75</f>
        <v>75.25187807024633</v>
      </c>
      <c r="K75" s="21">
        <v>16758743.75</v>
      </c>
      <c r="L75" s="21">
        <v>17765294.36</v>
      </c>
      <c r="M75" s="25">
        <f>(+K75-L75)/L75</f>
        <v>-0.056658256801324365</v>
      </c>
      <c r="N75" s="10"/>
      <c r="R75" s="2"/>
    </row>
    <row r="76" spans="1:18" ht="15.75" customHeight="1" thickBot="1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Bot="1" thickTop="1">
      <c r="A77" s="39" t="s">
        <v>14</v>
      </c>
      <c r="B77" s="40"/>
      <c r="C77" s="41">
        <f>SUM(C72:C76)</f>
        <v>1703520</v>
      </c>
      <c r="D77" s="41">
        <f>SUM(D72:D76)</f>
        <v>1815571</v>
      </c>
      <c r="E77" s="280">
        <f>(+C77-D77)/D77</f>
        <v>-0.06171667205523772</v>
      </c>
      <c r="F77" s="41">
        <f>SUM(F72:F76)</f>
        <v>918916</v>
      </c>
      <c r="G77" s="41">
        <f>SUM(G72:G76)</f>
        <v>941825</v>
      </c>
      <c r="H77" s="42">
        <f>(+F77-G77)/G77</f>
        <v>-0.024324051708119875</v>
      </c>
      <c r="I77" s="43">
        <f>K77/C77</f>
        <v>43.21866029750164</v>
      </c>
      <c r="J77" s="43">
        <f>K77/F77</f>
        <v>80.12032894192723</v>
      </c>
      <c r="K77" s="41">
        <f>SUM(K72:K76)</f>
        <v>73623852.19</v>
      </c>
      <c r="L77" s="41">
        <f>SUM(L72:L76)</f>
        <v>74879272.34</v>
      </c>
      <c r="M77" s="44">
        <f>(+K77-L77)/L77</f>
        <v>-0.016765923476120225</v>
      </c>
      <c r="N77" s="10"/>
      <c r="R77" s="2"/>
    </row>
    <row r="78" spans="1:18" ht="15.75" customHeight="1" thickTop="1">
      <c r="A78" s="58"/>
      <c r="B78" s="59"/>
      <c r="C78" s="59"/>
      <c r="D78" s="59"/>
      <c r="E78" s="60"/>
      <c r="F78" s="59"/>
      <c r="G78" s="59"/>
      <c r="H78" s="60"/>
      <c r="I78" s="59"/>
      <c r="J78" s="59"/>
      <c r="K78" s="197"/>
      <c r="L78" s="197"/>
      <c r="M78" s="61"/>
      <c r="N78" s="10"/>
      <c r="R78" s="2"/>
    </row>
    <row r="79" spans="1:18" ht="15" customHeight="1">
      <c r="A79" s="19" t="s">
        <v>59</v>
      </c>
      <c r="B79" s="20">
        <f>DATE(2018,7,1)</f>
        <v>43282</v>
      </c>
      <c r="C79" s="21">
        <v>63934</v>
      </c>
      <c r="D79" s="21">
        <v>62927</v>
      </c>
      <c r="E79" s="23">
        <f>(+C79-D79)/D79</f>
        <v>0.016002669760198325</v>
      </c>
      <c r="F79" s="21">
        <f>+C79-30110</f>
        <v>33824</v>
      </c>
      <c r="G79" s="21">
        <f>+D79-30201</f>
        <v>32726</v>
      </c>
      <c r="H79" s="23">
        <f>(+F79-G79)/G79</f>
        <v>0.03355130477296339</v>
      </c>
      <c r="I79" s="24">
        <f>K79/C79</f>
        <v>44.104667156755404</v>
      </c>
      <c r="J79" s="24">
        <f>K79/F79</f>
        <v>83.36647912724693</v>
      </c>
      <c r="K79" s="21">
        <v>2819787.79</v>
      </c>
      <c r="L79" s="21">
        <v>2929610.63</v>
      </c>
      <c r="M79" s="25">
        <f>(+K79-L79)/L79</f>
        <v>-0.03748717965294926</v>
      </c>
      <c r="N79" s="10"/>
      <c r="R79" s="2"/>
    </row>
    <row r="80" spans="1:18" ht="15" customHeight="1">
      <c r="A80" s="19"/>
      <c r="B80" s="20">
        <f>DATE(2018,8,1)</f>
        <v>43313</v>
      </c>
      <c r="C80" s="21">
        <v>61004</v>
      </c>
      <c r="D80" s="21">
        <v>58528</v>
      </c>
      <c r="E80" s="23">
        <f>(+C80-D80)/D80</f>
        <v>0.04230453799890651</v>
      </c>
      <c r="F80" s="21">
        <f>+C80-29259</f>
        <v>31745</v>
      </c>
      <c r="G80" s="21">
        <f>+D80-27538</f>
        <v>30990</v>
      </c>
      <c r="H80" s="23">
        <f>(+F80-G80)/G80</f>
        <v>0.02436269764440142</v>
      </c>
      <c r="I80" s="24">
        <f>K80/C80</f>
        <v>45.56410415710445</v>
      </c>
      <c r="J80" s="24">
        <f>K80/F80</f>
        <v>87.56001291541975</v>
      </c>
      <c r="K80" s="21">
        <v>2779592.61</v>
      </c>
      <c r="L80" s="21">
        <v>2672799.76</v>
      </c>
      <c r="M80" s="25">
        <f>(+K80-L80)/L80</f>
        <v>0.03995542486879006</v>
      </c>
      <c r="N80" s="10"/>
      <c r="R80" s="2"/>
    </row>
    <row r="81" spans="1:18" ht="15" customHeight="1">
      <c r="A81" s="19"/>
      <c r="B81" s="20">
        <f>DATE(2018,9,1)</f>
        <v>43344</v>
      </c>
      <c r="C81" s="21">
        <v>57391</v>
      </c>
      <c r="D81" s="21">
        <v>59418</v>
      </c>
      <c r="E81" s="23">
        <f>(+C81-D81)/D81</f>
        <v>-0.03411424147564711</v>
      </c>
      <c r="F81" s="21">
        <f>+C81-27760</f>
        <v>29631</v>
      </c>
      <c r="G81" s="21">
        <f>+D81-28421</f>
        <v>30997</v>
      </c>
      <c r="H81" s="23">
        <f>(+F81-G81)/G81</f>
        <v>-0.04406878084975965</v>
      </c>
      <c r="I81" s="24">
        <f>K81/C81</f>
        <v>45.601388196755586</v>
      </c>
      <c r="J81" s="24">
        <f>K81/F81</f>
        <v>88.32335290742803</v>
      </c>
      <c r="K81" s="21">
        <v>2617109.27</v>
      </c>
      <c r="L81" s="21">
        <v>2764418.67</v>
      </c>
      <c r="M81" s="25">
        <f>(+K81-L81)/L81</f>
        <v>-0.05328765920973899</v>
      </c>
      <c r="N81" s="10"/>
      <c r="R81" s="2"/>
    </row>
    <row r="82" spans="1:18" ht="15" customHeight="1">
      <c r="A82" s="19"/>
      <c r="B82" s="20">
        <f>DATE(2018,10,1)</f>
        <v>43374</v>
      </c>
      <c r="C82" s="21">
        <v>54970</v>
      </c>
      <c r="D82" s="21">
        <v>52864</v>
      </c>
      <c r="E82" s="23">
        <f>(+C82-D82)/D82</f>
        <v>0.03983807506053269</v>
      </c>
      <c r="F82" s="21">
        <f>+C82-26236</f>
        <v>28734</v>
      </c>
      <c r="G82" s="21">
        <f>+D82-24998</f>
        <v>27866</v>
      </c>
      <c r="H82" s="23">
        <f>(+F82-G82)/G82</f>
        <v>0.031149070551927078</v>
      </c>
      <c r="I82" s="24">
        <f>K82/C82</f>
        <v>46.12450209205021</v>
      </c>
      <c r="J82" s="24">
        <f>K82/F82</f>
        <v>88.23915500800445</v>
      </c>
      <c r="K82" s="21">
        <v>2535463.88</v>
      </c>
      <c r="L82" s="21">
        <v>2564041.46</v>
      </c>
      <c r="M82" s="25">
        <f>(+K82-L82)/L82</f>
        <v>-0.011145521804471942</v>
      </c>
      <c r="N82" s="10"/>
      <c r="R82" s="2"/>
    </row>
    <row r="83" spans="1:18" ht="15.75" thickBot="1">
      <c r="A83" s="38"/>
      <c r="B83" s="20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25" thickBot="1" thickTop="1">
      <c r="A84" s="62" t="s">
        <v>14</v>
      </c>
      <c r="B84" s="52"/>
      <c r="C84" s="48">
        <f>SUM(C79:C83)</f>
        <v>237299</v>
      </c>
      <c r="D84" s="48">
        <f>SUM(D79:D83)</f>
        <v>233737</v>
      </c>
      <c r="E84" s="280">
        <f>(+C84-D84)/D84</f>
        <v>0.015239350209851243</v>
      </c>
      <c r="F84" s="48">
        <f>SUM(F79:F83)</f>
        <v>123934</v>
      </c>
      <c r="G84" s="48">
        <f>SUM(G79:G83)</f>
        <v>122579</v>
      </c>
      <c r="H84" s="42">
        <f>(+F84-G84)/G84</f>
        <v>0.011054095726021586</v>
      </c>
      <c r="I84" s="50">
        <f>K84/C84</f>
        <v>45.3097297080898</v>
      </c>
      <c r="J84" s="50">
        <f>K84/F84</f>
        <v>86.75547912598641</v>
      </c>
      <c r="K84" s="48">
        <f>SUM(K79:K83)</f>
        <v>10751953.55</v>
      </c>
      <c r="L84" s="48">
        <f>SUM(L79:L83)</f>
        <v>10930870.52</v>
      </c>
      <c r="M84" s="44">
        <f>(+K84-L84)/L84</f>
        <v>-0.01636804403387982</v>
      </c>
      <c r="N84" s="10"/>
      <c r="R84" s="2"/>
    </row>
    <row r="85" spans="1:18" ht="15.75" customHeight="1" thickTop="1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>
      <c r="A86" s="19" t="s">
        <v>19</v>
      </c>
      <c r="B86" s="20">
        <f>DATE(2018,7,1)</f>
        <v>43282</v>
      </c>
      <c r="C86" s="21">
        <v>470354</v>
      </c>
      <c r="D86" s="21">
        <v>504566</v>
      </c>
      <c r="E86" s="23">
        <f>(+C86-D86)/D86</f>
        <v>-0.06780480650697827</v>
      </c>
      <c r="F86" s="21">
        <f>+C86-224841</f>
        <v>245513</v>
      </c>
      <c r="G86" s="21">
        <f>+D86-244721</f>
        <v>259845</v>
      </c>
      <c r="H86" s="23">
        <f>(+F86-G86)/G86</f>
        <v>-0.05515595835979142</v>
      </c>
      <c r="I86" s="24">
        <f>K86/C86</f>
        <v>49.79133967182165</v>
      </c>
      <c r="J86" s="24">
        <f>K86/F86</f>
        <v>95.39028800918892</v>
      </c>
      <c r="K86" s="21">
        <v>23419555.78</v>
      </c>
      <c r="L86" s="21">
        <v>23735238.92</v>
      </c>
      <c r="M86" s="25">
        <f>(+K86-L86)/L86</f>
        <v>-0.013300188005859795</v>
      </c>
      <c r="N86" s="10"/>
      <c r="R86" s="2"/>
    </row>
    <row r="87" spans="1:18" ht="15.75">
      <c r="A87" s="19"/>
      <c r="B87" s="20">
        <f>DATE(2018,8,1)</f>
        <v>43313</v>
      </c>
      <c r="C87" s="21">
        <v>474935</v>
      </c>
      <c r="D87" s="21">
        <v>457218</v>
      </c>
      <c r="E87" s="23">
        <f>(+C87-D87)/D87</f>
        <v>0.03874956803975346</v>
      </c>
      <c r="F87" s="21">
        <f>+C87-232414</f>
        <v>242521</v>
      </c>
      <c r="G87" s="21">
        <f>+D87-220228</f>
        <v>236990</v>
      </c>
      <c r="H87" s="23">
        <f>(+F87-G87)/G87</f>
        <v>0.023338537491033377</v>
      </c>
      <c r="I87" s="24">
        <f>K87/C87</f>
        <v>50.253279522460964</v>
      </c>
      <c r="J87" s="24">
        <f>K87/F87</f>
        <v>98.41226660784014</v>
      </c>
      <c r="K87" s="21">
        <v>23867041.31</v>
      </c>
      <c r="L87" s="21">
        <v>21406025.88</v>
      </c>
      <c r="M87" s="25">
        <f>(+K87-L87)/L87</f>
        <v>0.11496834787532266</v>
      </c>
      <c r="N87" s="10"/>
      <c r="R87" s="2"/>
    </row>
    <row r="88" spans="1:18" ht="15.75">
      <c r="A88" s="19"/>
      <c r="B88" s="20">
        <f>DATE(2018,9,1)</f>
        <v>43344</v>
      </c>
      <c r="C88" s="21">
        <v>439040</v>
      </c>
      <c r="D88" s="21">
        <v>469781</v>
      </c>
      <c r="E88" s="23">
        <f>(+C88-D88)/D88</f>
        <v>-0.06543687377735583</v>
      </c>
      <c r="F88" s="21">
        <f>+C88-213778</f>
        <v>225262</v>
      </c>
      <c r="G88" s="21">
        <f>+D88-233419</f>
        <v>236362</v>
      </c>
      <c r="H88" s="23">
        <f>(+F88-G88)/G88</f>
        <v>-0.046961863582132495</v>
      </c>
      <c r="I88" s="24">
        <f>K88/C88</f>
        <v>49.36747344205539</v>
      </c>
      <c r="J88" s="24">
        <f>K88/F88</f>
        <v>96.21816169615825</v>
      </c>
      <c r="K88" s="21">
        <v>21674295.54</v>
      </c>
      <c r="L88" s="21">
        <v>22005324.36</v>
      </c>
      <c r="M88" s="25">
        <f>(+K88-L88)/L88</f>
        <v>-0.015043123863319427</v>
      </c>
      <c r="N88" s="10"/>
      <c r="R88" s="2"/>
    </row>
    <row r="89" spans="1:18" ht="15.75">
      <c r="A89" s="19"/>
      <c r="B89" s="20">
        <f>DATE(2018,10,1)</f>
        <v>43374</v>
      </c>
      <c r="C89" s="21">
        <v>422287</v>
      </c>
      <c r="D89" s="21">
        <v>443959</v>
      </c>
      <c r="E89" s="23">
        <f>(+C89-D89)/D89</f>
        <v>-0.048815318531666214</v>
      </c>
      <c r="F89" s="21">
        <f>+C89-199383</f>
        <v>222904</v>
      </c>
      <c r="G89" s="21">
        <f>+D89-215005</f>
        <v>228954</v>
      </c>
      <c r="H89" s="23">
        <f>(+F89-G89)/G89</f>
        <v>-0.026424521956375516</v>
      </c>
      <c r="I89" s="24">
        <f>K89/C89</f>
        <v>49.14717732253183</v>
      </c>
      <c r="J89" s="24">
        <f>K89/F89</f>
        <v>93.10830702903492</v>
      </c>
      <c r="K89" s="21">
        <v>20754214.07</v>
      </c>
      <c r="L89" s="21">
        <v>21053075.3</v>
      </c>
      <c r="M89" s="25">
        <f>(+K89-L89)/L89</f>
        <v>-0.01419560922769323</v>
      </c>
      <c r="N89" s="10"/>
      <c r="R89" s="2"/>
    </row>
    <row r="90" spans="1:18" ht="15.75" thickBot="1">
      <c r="A90" s="38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thickBot="1" thickTop="1">
      <c r="A91" s="39" t="s">
        <v>14</v>
      </c>
      <c r="B91" s="40"/>
      <c r="C91" s="41">
        <f>SUM(C86:C90)</f>
        <v>1806616</v>
      </c>
      <c r="D91" s="41">
        <f>SUM(D86:D90)</f>
        <v>1875524</v>
      </c>
      <c r="E91" s="280">
        <f>(+C91-D91)/D91</f>
        <v>-0.0367406655420032</v>
      </c>
      <c r="F91" s="41">
        <f>SUM(F86:F90)</f>
        <v>936200</v>
      </c>
      <c r="G91" s="41">
        <f>SUM(G86:G90)</f>
        <v>962151</v>
      </c>
      <c r="H91" s="42">
        <f>(+F91-G91)/G91</f>
        <v>-0.026971857847676715</v>
      </c>
      <c r="I91" s="43">
        <f>K91/C91</f>
        <v>49.65920079308496</v>
      </c>
      <c r="J91" s="43">
        <f>K91/F91</f>
        <v>95.82899668874171</v>
      </c>
      <c r="K91" s="41">
        <f>SUM(K86:K90)</f>
        <v>89715106.69999999</v>
      </c>
      <c r="L91" s="41">
        <f>SUM(L86:L90)</f>
        <v>88199664.46</v>
      </c>
      <c r="M91" s="44">
        <f>(+K91-L91)/L91</f>
        <v>0.017181950172693375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>
      <c r="A93" s="19" t="s">
        <v>63</v>
      </c>
      <c r="B93" s="20">
        <f>DATE(2018,7,1)</f>
        <v>43282</v>
      </c>
      <c r="C93" s="21">
        <v>83462</v>
      </c>
      <c r="D93" s="21">
        <v>79906</v>
      </c>
      <c r="E93" s="23">
        <f>(+C93-D93)/D93</f>
        <v>0.044502290190974396</v>
      </c>
      <c r="F93" s="21">
        <f>+C93-37670</f>
        <v>45792</v>
      </c>
      <c r="G93" s="21">
        <f>+D93-36860</f>
        <v>43046</v>
      </c>
      <c r="H93" s="23">
        <f>(+F93-G93)/G93</f>
        <v>0.06379222227384658</v>
      </c>
      <c r="I93" s="24">
        <f>K93/C93</f>
        <v>43.09257506410103</v>
      </c>
      <c r="J93" s="24">
        <f>K93/F93</f>
        <v>78.5419396401118</v>
      </c>
      <c r="K93" s="21">
        <v>3596592.5</v>
      </c>
      <c r="L93" s="21">
        <v>3314806.15</v>
      </c>
      <c r="M93" s="25">
        <f>(+K93-L93)/L93</f>
        <v>0.08500839483479301</v>
      </c>
      <c r="N93" s="10"/>
      <c r="R93" s="2"/>
    </row>
    <row r="94" spans="1:18" ht="15.75">
      <c r="A94" s="19"/>
      <c r="B94" s="20">
        <f>DATE(2018,8,1)</f>
        <v>43313</v>
      </c>
      <c r="C94" s="21">
        <v>82775</v>
      </c>
      <c r="D94" s="21">
        <v>79783</v>
      </c>
      <c r="E94" s="23">
        <f>(+C94-D94)/D94</f>
        <v>0.03750172342478974</v>
      </c>
      <c r="F94" s="21">
        <f>+C94-37255</f>
        <v>45520</v>
      </c>
      <c r="G94" s="21">
        <f>+D94-35821</f>
        <v>43962</v>
      </c>
      <c r="H94" s="23">
        <f>(+F94-G94)/G94</f>
        <v>0.03543969792093171</v>
      </c>
      <c r="I94" s="24">
        <f>K94/C94</f>
        <v>43.96489386892178</v>
      </c>
      <c r="J94" s="24">
        <f>K94/F94</f>
        <v>79.94714608963093</v>
      </c>
      <c r="K94" s="21">
        <v>3639194.09</v>
      </c>
      <c r="L94" s="21">
        <v>3234719.93</v>
      </c>
      <c r="M94" s="25">
        <f>(+K94-L94)/L94</f>
        <v>0.12504147770221322</v>
      </c>
      <c r="N94" s="10"/>
      <c r="R94" s="2"/>
    </row>
    <row r="95" spans="1:18" ht="15.75">
      <c r="A95" s="19"/>
      <c r="B95" s="20">
        <f>DATE(2018,9,1)</f>
        <v>43344</v>
      </c>
      <c r="C95" s="21">
        <v>77092</v>
      </c>
      <c r="D95" s="21">
        <v>84353</v>
      </c>
      <c r="E95" s="23">
        <f>(+C95-D95)/D95</f>
        <v>-0.08607874053086434</v>
      </c>
      <c r="F95" s="21">
        <f>+C95-35421</f>
        <v>41671</v>
      </c>
      <c r="G95" s="21">
        <f>+D95-38205</f>
        <v>46148</v>
      </c>
      <c r="H95" s="23">
        <f>(+F95-G95)/G95</f>
        <v>-0.09701395510097946</v>
      </c>
      <c r="I95" s="24">
        <f>K95/C95</f>
        <v>44.389417838426816</v>
      </c>
      <c r="J95" s="24">
        <f>K95/F95</f>
        <v>82.12111540399799</v>
      </c>
      <c r="K95" s="21">
        <v>3422069</v>
      </c>
      <c r="L95" s="21">
        <v>3468398</v>
      </c>
      <c r="M95" s="25">
        <f>(+K95-L95)/L95</f>
        <v>-0.0133574635898187</v>
      </c>
      <c r="N95" s="10"/>
      <c r="R95" s="2"/>
    </row>
    <row r="96" spans="1:18" ht="15.75">
      <c r="A96" s="19"/>
      <c r="B96" s="20">
        <f>DATE(2018,10,1)</f>
        <v>43374</v>
      </c>
      <c r="C96" s="21">
        <v>82223</v>
      </c>
      <c r="D96" s="21">
        <v>80014</v>
      </c>
      <c r="E96" s="23">
        <f>(+C96-D96)/D96</f>
        <v>0.027607668657984853</v>
      </c>
      <c r="F96" s="21">
        <f>+C96-37480</f>
        <v>44743</v>
      </c>
      <c r="G96" s="21">
        <f>+D96-36610</f>
        <v>43404</v>
      </c>
      <c r="H96" s="23">
        <f>(+F96-G96)/G96</f>
        <v>0.030849691272693762</v>
      </c>
      <c r="I96" s="24">
        <f>K96/C96</f>
        <v>41.26233450494387</v>
      </c>
      <c r="J96" s="24">
        <f>K96/F96</f>
        <v>75.82667523411483</v>
      </c>
      <c r="K96" s="21">
        <v>3392712.93</v>
      </c>
      <c r="L96" s="21">
        <v>3370291.8</v>
      </c>
      <c r="M96" s="25">
        <f>(+K96-L96)/L96</f>
        <v>0.0066525782723028185</v>
      </c>
      <c r="N96" s="10"/>
      <c r="R96" s="2"/>
    </row>
    <row r="97" spans="1:18" ht="15.75" thickBot="1">
      <c r="A97" s="38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25" thickBot="1" thickTop="1">
      <c r="A98" s="26" t="s">
        <v>14</v>
      </c>
      <c r="B98" s="27"/>
      <c r="C98" s="28">
        <f>SUM(C93:C97)</f>
        <v>325552</v>
      </c>
      <c r="D98" s="28">
        <f>SUM(D93:D97)</f>
        <v>324056</v>
      </c>
      <c r="E98" s="280">
        <f>(+C98-D98)/D98</f>
        <v>0.0046164860394499714</v>
      </c>
      <c r="F98" s="28">
        <f>SUM(F93:F97)</f>
        <v>177726</v>
      </c>
      <c r="G98" s="28">
        <f>SUM(G93:G97)</f>
        <v>176560</v>
      </c>
      <c r="H98" s="42">
        <f>(+F98-G98)/G98</f>
        <v>0.006603987313094699</v>
      </c>
      <c r="I98" s="43">
        <f>K98/C98</f>
        <v>43.15921425763012</v>
      </c>
      <c r="J98" s="43">
        <f>K98/F98</f>
        <v>79.05747341413186</v>
      </c>
      <c r="K98" s="28">
        <f>SUM(K93:K97)</f>
        <v>14050568.52</v>
      </c>
      <c r="L98" s="28">
        <f>SUM(L93:L97)</f>
        <v>13388215.879999999</v>
      </c>
      <c r="M98" s="44">
        <f>(+K98-L98)/L98</f>
        <v>0.049472808471026884</v>
      </c>
      <c r="N98" s="10"/>
      <c r="R98" s="2"/>
    </row>
    <row r="99" spans="1:18" ht="16.5" thickBot="1" thickTop="1">
      <c r="A99" s="63"/>
      <c r="B99" s="34"/>
      <c r="C99" s="35"/>
      <c r="D99" s="35"/>
      <c r="E99" s="29"/>
      <c r="F99" s="35"/>
      <c r="G99" s="35"/>
      <c r="H99" s="29"/>
      <c r="I99" s="36"/>
      <c r="J99" s="36"/>
      <c r="K99" s="35"/>
      <c r="L99" s="35"/>
      <c r="M99" s="37"/>
      <c r="N99" s="10"/>
      <c r="R99" s="2"/>
    </row>
    <row r="100" spans="1:18" ht="17.25" thickBot="1" thickTop="1">
      <c r="A100" s="64" t="s">
        <v>20</v>
      </c>
      <c r="B100" s="65"/>
      <c r="C100" s="28">
        <f>C98+C91+C42+C56+C63+C28+C14+C70+C77+C35+C84+C21+C49</f>
        <v>12950713</v>
      </c>
      <c r="D100" s="28">
        <f>D98+D91+D42+D56+D63+D28+D14+D70+D77+D35+D84+D21+D49</f>
        <v>13477323</v>
      </c>
      <c r="E100" s="279">
        <f>(+C100-D100)/D100</f>
        <v>-0.039073783421232834</v>
      </c>
      <c r="F100" s="28">
        <f>F98+F91+F42+F56+F63+F28+F14+F70+F77+F35+F84+F21+F49</f>
        <v>6821670</v>
      </c>
      <c r="G100" s="28">
        <f>G98+G91+G42+G56+G63+G28+G14+G70+G77+G35+G84+G21+G49</f>
        <v>7015732</v>
      </c>
      <c r="H100" s="30">
        <f>(+F100-G100)/G100</f>
        <v>-0.02766097678759679</v>
      </c>
      <c r="I100" s="31">
        <f>K100/C100</f>
        <v>45.08002926248153</v>
      </c>
      <c r="J100" s="31">
        <f>K100/F100</f>
        <v>85.58293218669328</v>
      </c>
      <c r="K100" s="28">
        <f>K98+K91+K42+K56+K63+K28+K14+K70+K77+K35+K84+K21+K49</f>
        <v>583818521.01</v>
      </c>
      <c r="L100" s="28">
        <f>L98+L91+L42+L56+L63+L28+L14+L70+L77+L35+L84+L21+L49</f>
        <v>579175115.3000002</v>
      </c>
      <c r="M100" s="32">
        <f>(+K100-L100)/L100</f>
        <v>0.00801727420142113</v>
      </c>
      <c r="N100" s="10"/>
      <c r="R100" s="2"/>
    </row>
    <row r="101" spans="1:18" ht="17.25" thickBot="1" thickTop="1">
      <c r="A101" s="64"/>
      <c r="B101" s="65"/>
      <c r="C101" s="28"/>
      <c r="D101" s="28"/>
      <c r="E101" s="29"/>
      <c r="F101" s="28"/>
      <c r="G101" s="28"/>
      <c r="H101" s="30"/>
      <c r="I101" s="31"/>
      <c r="J101" s="31"/>
      <c r="K101" s="28"/>
      <c r="L101" s="28"/>
      <c r="M101" s="32"/>
      <c r="N101" s="10"/>
      <c r="R101" s="2"/>
    </row>
    <row r="102" spans="1:18" ht="17.25" thickBot="1" thickTop="1">
      <c r="A102" s="64" t="s">
        <v>21</v>
      </c>
      <c r="B102" s="65"/>
      <c r="C102" s="28">
        <f>+C12+C19+C26+C33+C40+C47+C54+C61+C68+C75+C82+C89+C96</f>
        <v>3039331</v>
      </c>
      <c r="D102" s="28">
        <f>+D12+D19+D26+D33+D40+D47+D54+D61+D68+D75+D82+D89+D96</f>
        <v>3192775</v>
      </c>
      <c r="E102" s="279">
        <f>(+C102-D102)/D102</f>
        <v>-0.04805975992670952</v>
      </c>
      <c r="F102" s="28">
        <f>+F12+F19+F26+F33+F40+F47+F54+F61+F68+F75+F82+F89+F96</f>
        <v>1609603</v>
      </c>
      <c r="G102" s="28">
        <f>+G12+G19+G26+G33+G40+G47+G54+G61+G68+G75+G82+G89+G96</f>
        <v>1655230</v>
      </c>
      <c r="H102" s="30">
        <f>(+F102-G102)/G102</f>
        <v>-0.02756535345541103</v>
      </c>
      <c r="I102" s="31">
        <f>K102/C102</f>
        <v>45.405788819973864</v>
      </c>
      <c r="J102" s="31">
        <f>K102/F102</f>
        <v>85.7374281360062</v>
      </c>
      <c r="K102" s="28">
        <f>+K12+K19+K26+K33+K40+K47+K54+K61+K68+K75+K82+K89+K96</f>
        <v>138003221.54</v>
      </c>
      <c r="L102" s="28">
        <f>+L12+L19+L26+L33+L40+L47+L54+L61+L68+L75+L82+L89+L96</f>
        <v>137022313.46</v>
      </c>
      <c r="M102" s="44">
        <f>(+K102-L102)/L102</f>
        <v>0.007158747033462788</v>
      </c>
      <c r="N102" s="10"/>
      <c r="R102" s="2"/>
    </row>
    <row r="103" spans="1:18" ht="15.75" thickTop="1">
      <c r="A103" s="66"/>
      <c r="B103" s="67"/>
      <c r="C103" s="68"/>
      <c r="D103" s="67"/>
      <c r="E103" s="67"/>
      <c r="F103" s="67"/>
      <c r="G103" s="67"/>
      <c r="H103" s="67"/>
      <c r="I103" s="67"/>
      <c r="J103" s="67"/>
      <c r="K103" s="68"/>
      <c r="L103" s="68"/>
      <c r="M103" s="67"/>
      <c r="R103" s="2"/>
    </row>
    <row r="104" spans="1:18" ht="18.75">
      <c r="A104" s="264" t="s">
        <v>22</v>
      </c>
      <c r="B104" s="70"/>
      <c r="C104" s="71"/>
      <c r="D104" s="71"/>
      <c r="E104" s="71"/>
      <c r="F104" s="71"/>
      <c r="G104" s="71"/>
      <c r="H104" s="71"/>
      <c r="I104" s="71"/>
      <c r="J104" s="71"/>
      <c r="K104" s="198"/>
      <c r="L104" s="198"/>
      <c r="M104" s="71"/>
      <c r="N104" s="2"/>
      <c r="O104" s="2"/>
      <c r="P104" s="2"/>
      <c r="Q104" s="2"/>
      <c r="R104" s="2"/>
    </row>
    <row r="105" spans="1:18" ht="18">
      <c r="A105" s="69"/>
      <c r="B105" s="70"/>
      <c r="C105" s="71"/>
      <c r="D105" s="71"/>
      <c r="E105" s="71"/>
      <c r="F105" s="71"/>
      <c r="G105" s="71"/>
      <c r="H105" s="71"/>
      <c r="I105" s="71"/>
      <c r="J105" s="71"/>
      <c r="K105" s="198"/>
      <c r="L105" s="198"/>
      <c r="M105" s="71"/>
      <c r="N105" s="2"/>
      <c r="O105" s="2"/>
      <c r="P105" s="2"/>
      <c r="Q105" s="2"/>
      <c r="R105" s="2"/>
    </row>
    <row r="106" spans="1:18" ht="15.75">
      <c r="A106" s="72"/>
      <c r="B106" s="73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3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73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">
      <c r="A109" s="2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2"/>
      <c r="B112" s="73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2"/>
      <c r="B113" s="73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">
      <c r="A114" s="2"/>
      <c r="B114" s="73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3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4"/>
      <c r="N115" s="2"/>
      <c r="O115" s="2"/>
      <c r="P115" s="2"/>
      <c r="Q115" s="2"/>
      <c r="R115" s="2"/>
    </row>
    <row r="116" spans="1:18" ht="15">
      <c r="A116" s="2"/>
      <c r="B116" s="73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4"/>
      <c r="N116" s="2"/>
      <c r="O116" s="2"/>
      <c r="P116" s="2"/>
      <c r="Q116" s="2"/>
      <c r="R116" s="2"/>
    </row>
    <row r="117" spans="1:18" ht="15">
      <c r="A117" s="2"/>
      <c r="B117" s="70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4"/>
      <c r="N117" s="2"/>
      <c r="O117" s="2"/>
      <c r="P117" s="2"/>
      <c r="Q117" s="2"/>
      <c r="R117" s="2"/>
    </row>
    <row r="118" spans="1:18" ht="15.75">
      <c r="A118" s="76"/>
      <c r="B118" s="70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.75">
      <c r="A119" s="76"/>
      <c r="B119" s="70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.75">
      <c r="A120" s="76"/>
      <c r="B120" s="70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0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>
      <c r="A122" s="76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77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>
      <c r="A135" s="76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.75">
      <c r="A138" s="76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>
      <c r="A139" s="76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>
      <c r="A140" s="76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77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77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77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77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>
      <c r="A153" s="76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.75">
      <c r="A156" s="76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.75">
      <c r="A162" s="76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>
      <c r="A165" s="76"/>
      <c r="B165" s="76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DATE(2018,7,1)</f>
        <v>43282</v>
      </c>
      <c r="B10" s="89">
        <f>'MONTHLY STATS'!$C$9*2</f>
        <v>522912</v>
      </c>
      <c r="C10" s="89">
        <f>'MONTHLY STATS'!$C$16*2</f>
        <v>284954</v>
      </c>
      <c r="D10" s="89">
        <f>'MONTHLY STATS'!$C$23*2</f>
        <v>145820</v>
      </c>
      <c r="E10" s="89">
        <f>'MONTHLY STATS'!$C$30*2</f>
        <v>931784</v>
      </c>
      <c r="F10" s="89">
        <f>'MONTHLY STATS'!$C$37*2</f>
        <v>578334</v>
      </c>
      <c r="G10" s="89">
        <f>'MONTHLY STATS'!$C$44*2</f>
        <v>258320</v>
      </c>
      <c r="H10" s="89">
        <f>'MONTHLY STATS'!$C$51*2</f>
        <v>328480</v>
      </c>
      <c r="I10" s="89">
        <f>'MONTHLY STATS'!$C$58*2</f>
        <v>776602</v>
      </c>
      <c r="J10" s="89">
        <f>'MONTHLY STATS'!$C$65*2</f>
        <v>827460</v>
      </c>
      <c r="K10" s="89">
        <f>'MONTHLY STATS'!$C$72*2</f>
        <v>874426</v>
      </c>
      <c r="L10" s="89">
        <f>'MONTHLY STATS'!$C$79*2</f>
        <v>127868</v>
      </c>
      <c r="M10" s="89">
        <f>'MONTHLY STATS'!$C$86*2</f>
        <v>940708</v>
      </c>
      <c r="N10" s="89">
        <f>'MONTHLY STATS'!$C$93*2</f>
        <v>166924</v>
      </c>
      <c r="O10" s="90">
        <f>SUM(B10:N10)</f>
        <v>6764592</v>
      </c>
      <c r="P10" s="83"/>
    </row>
    <row r="11" spans="1:16" ht="15.75">
      <c r="A11" s="88">
        <f>DATE(2018,8,1)</f>
        <v>43313</v>
      </c>
      <c r="B11" s="89">
        <f>'MONTHLY STATS'!$C$10*2</f>
        <v>532734</v>
      </c>
      <c r="C11" s="89">
        <f>'MONTHLY STATS'!$C$17*2</f>
        <v>275664</v>
      </c>
      <c r="D11" s="89">
        <f>'MONTHLY STATS'!$C$24*2</f>
        <v>141194</v>
      </c>
      <c r="E11" s="89">
        <f>'MONTHLY STATS'!$C$31*2</f>
        <v>909144</v>
      </c>
      <c r="F11" s="89">
        <f>'MONTHLY STATS'!$C$38*2</f>
        <v>584264</v>
      </c>
      <c r="G11" s="89">
        <f>'MONTHLY STATS'!$C$45*2</f>
        <v>241720</v>
      </c>
      <c r="H11" s="89">
        <f>'MONTHLY STATS'!$C$52*2</f>
        <v>322250</v>
      </c>
      <c r="I11" s="89">
        <f>'MONTHLY STATS'!$C$59*2</f>
        <v>750294</v>
      </c>
      <c r="J11" s="89">
        <f>'MONTHLY STATS'!$C$66*2</f>
        <v>811668</v>
      </c>
      <c r="K11" s="89">
        <f>'MONTHLY STATS'!$C$73*2</f>
        <v>856870</v>
      </c>
      <c r="L11" s="89">
        <f>'MONTHLY STATS'!$C$80*2</f>
        <v>122008</v>
      </c>
      <c r="M11" s="89">
        <f>'MONTHLY STATS'!$C$87*2</f>
        <v>949870</v>
      </c>
      <c r="N11" s="89">
        <f>'MONTHLY STATS'!$C$94*2</f>
        <v>165550</v>
      </c>
      <c r="O11" s="90">
        <f>SUM(B11:N11)</f>
        <v>6663230</v>
      </c>
      <c r="P11" s="83"/>
    </row>
    <row r="12" spans="1:16" ht="15.75">
      <c r="A12" s="88">
        <f>DATE(2018,9,1)</f>
        <v>43344</v>
      </c>
      <c r="B12" s="89">
        <f>'MONTHLY STATS'!$C$11*2</f>
        <v>527252</v>
      </c>
      <c r="C12" s="89">
        <f>'MONTHLY STATS'!$C$18*2</f>
        <v>274524</v>
      </c>
      <c r="D12" s="89">
        <f>'MONTHLY STATS'!$C$25*2</f>
        <v>136610</v>
      </c>
      <c r="E12" s="89">
        <f>'MONTHLY STATS'!$C$32*2</f>
        <v>801390</v>
      </c>
      <c r="F12" s="89">
        <f>'MONTHLY STATS'!$C$39*2</f>
        <v>585910</v>
      </c>
      <c r="G12" s="89">
        <f>'MONTHLY STATS'!$C$46*2</f>
        <v>259142</v>
      </c>
      <c r="H12" s="89">
        <f>'MONTHLY STATS'!$C$53*2</f>
        <v>308386</v>
      </c>
      <c r="I12" s="89">
        <f>'MONTHLY STATS'!$C$60*2</f>
        <v>720682</v>
      </c>
      <c r="J12" s="89">
        <f>'MONTHLY STATS'!$C$67*2</f>
        <v>773024</v>
      </c>
      <c r="K12" s="89">
        <f>'MONTHLY STATS'!$C$74*2</f>
        <v>860976</v>
      </c>
      <c r="L12" s="89">
        <f>'MONTHLY STATS'!$C$81*2</f>
        <v>114782</v>
      </c>
      <c r="M12" s="89">
        <f>'MONTHLY STATS'!$C$88*2</f>
        <v>878080</v>
      </c>
      <c r="N12" s="89">
        <f>'MONTHLY STATS'!$C$95*2</f>
        <v>154184</v>
      </c>
      <c r="O12" s="90">
        <f>SUM(B12:N12)</f>
        <v>6394942</v>
      </c>
      <c r="P12" s="83"/>
    </row>
    <row r="13" spans="1:16" ht="15.75">
      <c r="A13" s="88">
        <f>DATE(2018,10,1)</f>
        <v>43374</v>
      </c>
      <c r="B13" s="89">
        <f>'MONTHLY STATS'!$C$12*2</f>
        <v>528486</v>
      </c>
      <c r="C13" s="89">
        <f>'MONTHLY STATS'!$C$19*2</f>
        <v>239874</v>
      </c>
      <c r="D13" s="89">
        <f>'MONTHLY STATS'!$C$26*2</f>
        <v>124498</v>
      </c>
      <c r="E13" s="89">
        <f>'MONTHLY STATS'!$C$33*2</f>
        <v>771874</v>
      </c>
      <c r="F13" s="89">
        <f>'MONTHLY STATS'!$C$40*2</f>
        <v>566214</v>
      </c>
      <c r="G13" s="89">
        <f>'MONTHLY STATS'!$C$47*2</f>
        <v>232478</v>
      </c>
      <c r="H13" s="89">
        <f>'MONTHLY STATS'!$C$54*2</f>
        <v>306350</v>
      </c>
      <c r="I13" s="89">
        <f>'MONTHLY STATS'!$C$61*2</f>
        <v>667446</v>
      </c>
      <c r="J13" s="89">
        <f>'MONTHLY STATS'!$C$68*2</f>
        <v>707714</v>
      </c>
      <c r="K13" s="89">
        <f>'MONTHLY STATS'!$C$75*2</f>
        <v>814768</v>
      </c>
      <c r="L13" s="89">
        <f>'MONTHLY STATS'!$C$82*2</f>
        <v>109940</v>
      </c>
      <c r="M13" s="89">
        <f>'MONTHLY STATS'!$C$89*2</f>
        <v>844574</v>
      </c>
      <c r="N13" s="89">
        <f>'MONTHLY STATS'!$C$96*2</f>
        <v>164446</v>
      </c>
      <c r="O13" s="90">
        <f>SUM(B13:N13)</f>
        <v>6078662</v>
      </c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2111384</v>
      </c>
      <c r="C23" s="90">
        <f t="shared" si="0"/>
        <v>1075016</v>
      </c>
      <c r="D23" s="90">
        <f t="shared" si="0"/>
        <v>548122</v>
      </c>
      <c r="E23" s="90">
        <f t="shared" si="0"/>
        <v>3414192</v>
      </c>
      <c r="F23" s="90">
        <f t="shared" si="0"/>
        <v>2314722</v>
      </c>
      <c r="G23" s="90">
        <f>SUM(G10:G21)</f>
        <v>991660</v>
      </c>
      <c r="H23" s="90">
        <f t="shared" si="0"/>
        <v>1265466</v>
      </c>
      <c r="I23" s="90">
        <f>SUM(I10:I21)</f>
        <v>2915024</v>
      </c>
      <c r="J23" s="90">
        <f t="shared" si="0"/>
        <v>3119866</v>
      </c>
      <c r="K23" s="90">
        <f>SUM(K10:K21)</f>
        <v>3407040</v>
      </c>
      <c r="L23" s="90">
        <f t="shared" si="0"/>
        <v>474598</v>
      </c>
      <c r="M23" s="90">
        <f t="shared" si="0"/>
        <v>3613232</v>
      </c>
      <c r="N23" s="90">
        <f t="shared" si="0"/>
        <v>651104</v>
      </c>
      <c r="O23" s="90">
        <f t="shared" si="0"/>
        <v>25901426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DATE(2018,7,1)</f>
        <v>43282</v>
      </c>
      <c r="B31" s="89">
        <f>'MONTHLY STATS'!$K$9*0.21</f>
        <v>2808760.5189</v>
      </c>
      <c r="C31" s="89">
        <f>'MONTHLY STATS'!$K$16*0.21</f>
        <v>1548718.5546</v>
      </c>
      <c r="D31" s="89">
        <f>'MONTHLY STATS'!$K$23*0.21</f>
        <v>685642.4085</v>
      </c>
      <c r="E31" s="89">
        <f>'MONTHLY STATS'!$K$30*0.21</f>
        <v>4237819.6182</v>
      </c>
      <c r="F31" s="89">
        <f>'MONTHLY STATS'!$K$37*0.21</f>
        <v>3127962.4383</v>
      </c>
      <c r="G31" s="89">
        <f>'MONTHLY STATS'!$K$44*0.21</f>
        <v>1095967.4355</v>
      </c>
      <c r="H31" s="89">
        <f>'MONTHLY STATS'!$K$51*0.21</f>
        <v>1213029.2600999998</v>
      </c>
      <c r="I31" s="89">
        <f>'MONTHLY STATS'!$K$58*0.21</f>
        <v>2819522.3153999997</v>
      </c>
      <c r="J31" s="89">
        <f>'MONTHLY STATS'!$K$65*0.21</f>
        <v>3702168.1788000003</v>
      </c>
      <c r="K31" s="89">
        <f>'MONTHLY STATS'!$K$72*0.21</f>
        <v>4113346.1313</v>
      </c>
      <c r="L31" s="89">
        <f>'MONTHLY STATS'!$K$79*0.21</f>
        <v>592155.4359</v>
      </c>
      <c r="M31" s="89">
        <f>'MONTHLY STATS'!$K$86*0.21</f>
        <v>4918106.7138</v>
      </c>
      <c r="N31" s="89">
        <f>'MONTHLY STATS'!$K$93*0.21</f>
        <v>755284.4249999999</v>
      </c>
      <c r="O31" s="90">
        <f>SUM(B31:N31)</f>
        <v>31618483.4343</v>
      </c>
      <c r="P31" s="83"/>
    </row>
    <row r="32" spans="1:16" ht="15.75">
      <c r="A32" s="88">
        <f>DATE(2018,8,1)</f>
        <v>43313</v>
      </c>
      <c r="B32" s="89">
        <f>'MONTHLY STATS'!$K$10*0.21</f>
        <v>2931159.3863999997</v>
      </c>
      <c r="C32" s="89">
        <f>'MONTHLY STATS'!$K$17*0.21</f>
        <v>1490706.2645999999</v>
      </c>
      <c r="D32" s="89">
        <f>'MONTHLY STATS'!$K$24*0.21</f>
        <v>656176.9746</v>
      </c>
      <c r="E32" s="89">
        <f>'MONTHLY STATS'!$K$31*0.21</f>
        <v>4286184.1554</v>
      </c>
      <c r="F32" s="89">
        <f>'MONTHLY STATS'!$K$38*0.21</f>
        <v>3063779.8274999997</v>
      </c>
      <c r="G32" s="89">
        <f>'MONTHLY STATS'!$K$45*0.21</f>
        <v>1105283.0607</v>
      </c>
      <c r="H32" s="89">
        <f>'MONTHLY STATS'!$K$52*0.21</f>
        <v>1168175.9922</v>
      </c>
      <c r="I32" s="89">
        <f>'MONTHLY STATS'!$K$59*0.21</f>
        <v>2941388.9526</v>
      </c>
      <c r="J32" s="89">
        <f>'MONTHLY STATS'!$K$66*0.21</f>
        <v>3737965.8162</v>
      </c>
      <c r="K32" s="89">
        <f>'MONTHLY STATS'!$K$73*0.21</f>
        <v>4005332.6166</v>
      </c>
      <c r="L32" s="89">
        <f>'MONTHLY STATS'!$K$80*0.21</f>
        <v>583714.4480999999</v>
      </c>
      <c r="M32" s="89">
        <f>'MONTHLY STATS'!$K$87*0.21</f>
        <v>5012078.6751</v>
      </c>
      <c r="N32" s="89">
        <f>'MONTHLY STATS'!$K$94*0.21</f>
        <v>764230.7588999999</v>
      </c>
      <c r="O32" s="90">
        <f>SUM(B32:N32)</f>
        <v>31746176.9289</v>
      </c>
      <c r="P32" s="83"/>
    </row>
    <row r="33" spans="1:16" ht="15.75">
      <c r="A33" s="88">
        <f>DATE(2018,9,1)</f>
        <v>43344</v>
      </c>
      <c r="B33" s="89">
        <f>'MONTHLY STATS'!$K$11*0.21</f>
        <v>2842581.483</v>
      </c>
      <c r="C33" s="289">
        <v>1380883.09</v>
      </c>
      <c r="D33" s="89">
        <f>'MONTHLY STATS'!$K$25*0.21</f>
        <v>656634.2244</v>
      </c>
      <c r="E33" s="89">
        <f>'MONTHLY STATS'!$K$32*0.21</f>
        <v>4079116.23</v>
      </c>
      <c r="F33" s="89">
        <f>'MONTHLY STATS'!$K$39*0.21</f>
        <v>3198835.7646</v>
      </c>
      <c r="G33" s="89">
        <f>'MONTHLY STATS'!$K$46*0.21</f>
        <v>1062033.5712</v>
      </c>
      <c r="H33" s="89">
        <f>'MONTHLY STATS'!$K$53*0.21</f>
        <v>1128829.0229999998</v>
      </c>
      <c r="I33" s="89">
        <f>'MONTHLY STATS'!$K$60*0.21</f>
        <v>2791439.5508999997</v>
      </c>
      <c r="J33" s="89">
        <f>'MONTHLY STATS'!$K$67*0.21</f>
        <v>3486034.587</v>
      </c>
      <c r="K33" s="89">
        <f>'MONTHLY STATS'!$K$74*0.21</f>
        <v>3822994.0245</v>
      </c>
      <c r="L33" s="89">
        <f>'MONTHLY STATS'!$K$81*0.21</f>
        <v>549592.9467</v>
      </c>
      <c r="M33" s="89">
        <f>'MONTHLY STATS'!$K$88*0.21</f>
        <v>4551602.063399999</v>
      </c>
      <c r="N33" s="89">
        <f>'MONTHLY STATS'!$K$95*0.21</f>
        <v>718634.49</v>
      </c>
      <c r="O33" s="90">
        <f>SUM(B33:N33)</f>
        <v>30269211.0487</v>
      </c>
      <c r="P33" s="83"/>
    </row>
    <row r="34" spans="1:16" ht="15.75">
      <c r="A34" s="88">
        <f>DATE(2018,10,1)</f>
        <v>43374</v>
      </c>
      <c r="B34" s="89">
        <f>'MONTHLY STATS'!$K$12*0.21</f>
        <v>2932707.1998</v>
      </c>
      <c r="C34" s="89">
        <f>'MONTHLY STATS'!$K$19*0.21</f>
        <v>1332895.5927</v>
      </c>
      <c r="D34" s="89">
        <f>'MONTHLY STATS'!$K$26*0.21</f>
        <v>597855.2538</v>
      </c>
      <c r="E34" s="89">
        <f>'MONTHLY STATS'!$K$33*0.21</f>
        <v>3812123.9772</v>
      </c>
      <c r="F34" s="89">
        <f>'MONTHLY STATS'!$K$40*0.21</f>
        <v>3083020.5231</v>
      </c>
      <c r="G34" s="89">
        <f>'MONTHLY STATS'!$K$47*0.21</f>
        <v>1037313.7824</v>
      </c>
      <c r="H34" s="89">
        <f>'MONTHLY STATS'!$K$54*0.21</f>
        <v>1103831.1479999998</v>
      </c>
      <c r="I34" s="89">
        <f>'MONTHLY STATS'!$K$61*0.21</f>
        <v>2792683.4586</v>
      </c>
      <c r="J34" s="89">
        <f>'MONTHLY STATS'!$K$68*0.21</f>
        <v>3165607.3155</v>
      </c>
      <c r="K34" s="89">
        <f>'MONTHLY STATS'!$K$75*0.21</f>
        <v>3519336.1875</v>
      </c>
      <c r="L34" s="89">
        <f>'MONTHLY STATS'!$K$82*0.21</f>
        <v>532447.4147999999</v>
      </c>
      <c r="M34" s="89">
        <f>'MONTHLY STATS'!$K$89*0.21</f>
        <v>4358384.9547</v>
      </c>
      <c r="N34" s="89">
        <f>'MONTHLY STATS'!$K$96*0.21</f>
        <v>712469.7153</v>
      </c>
      <c r="O34" s="90">
        <f>SUM(B34:N34)</f>
        <v>28980676.5234</v>
      </c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11515208.5881</v>
      </c>
      <c r="C44" s="90">
        <f t="shared" si="1"/>
        <v>5753203.5019</v>
      </c>
      <c r="D44" s="90">
        <f t="shared" si="1"/>
        <v>2596308.8613</v>
      </c>
      <c r="E44" s="90">
        <f t="shared" si="1"/>
        <v>16415243.980800001</v>
      </c>
      <c r="F44" s="90">
        <f t="shared" si="1"/>
        <v>12473598.553499999</v>
      </c>
      <c r="G44" s="90">
        <f t="shared" si="1"/>
        <v>4300597.8498</v>
      </c>
      <c r="H44" s="90">
        <f t="shared" si="1"/>
        <v>4613865.4233</v>
      </c>
      <c r="I44" s="90">
        <f>SUM(I31:I42)</f>
        <v>11345034.277499998</v>
      </c>
      <c r="J44" s="90">
        <f t="shared" si="1"/>
        <v>14091775.8975</v>
      </c>
      <c r="K44" s="90">
        <f>SUM(K31:K42)</f>
        <v>15461008.9599</v>
      </c>
      <c r="L44" s="90">
        <f t="shared" si="1"/>
        <v>2257910.2455</v>
      </c>
      <c r="M44" s="90">
        <f t="shared" si="1"/>
        <v>18840172.407</v>
      </c>
      <c r="N44" s="90">
        <f t="shared" si="1"/>
        <v>2950619.3892</v>
      </c>
      <c r="O44" s="90">
        <f t="shared" si="1"/>
        <v>122614547.9353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DATE(2018,7,1)</f>
        <v>43282</v>
      </c>
      <c r="C9" s="204">
        <v>10277324</v>
      </c>
      <c r="D9" s="204">
        <v>1826329</v>
      </c>
      <c r="E9" s="204">
        <v>1744231.98</v>
      </c>
      <c r="F9" s="132">
        <f>(+D9-E9)/E9</f>
        <v>0.04706771859555059</v>
      </c>
      <c r="G9" s="215">
        <f>D9/C9</f>
        <v>0.17770472157927492</v>
      </c>
      <c r="H9" s="123"/>
    </row>
    <row r="10" spans="1:8" ht="15.75">
      <c r="A10" s="130"/>
      <c r="B10" s="131">
        <f>DATE(2018,8,1)</f>
        <v>43313</v>
      </c>
      <c r="C10" s="204">
        <v>10565544</v>
      </c>
      <c r="D10" s="204">
        <v>1679235.5</v>
      </c>
      <c r="E10" s="204">
        <v>1558308</v>
      </c>
      <c r="F10" s="132">
        <f>(+D10-E10)/E10</f>
        <v>0.07760179630727687</v>
      </c>
      <c r="G10" s="215">
        <f>D10/C10</f>
        <v>0.15893507234459484</v>
      </c>
      <c r="H10" s="123"/>
    </row>
    <row r="11" spans="1:8" ht="15.75">
      <c r="A11" s="130"/>
      <c r="B11" s="131">
        <f>DATE(2018,9,1)</f>
        <v>43344</v>
      </c>
      <c r="C11" s="204">
        <v>9926032</v>
      </c>
      <c r="D11" s="204">
        <v>2056251</v>
      </c>
      <c r="E11" s="204">
        <v>1764006.5</v>
      </c>
      <c r="F11" s="132">
        <f>(+D11-E11)/E11</f>
        <v>0.1656708747955294</v>
      </c>
      <c r="G11" s="215">
        <f>D11/C11</f>
        <v>0.20715740187015314</v>
      </c>
      <c r="H11" s="123"/>
    </row>
    <row r="12" spans="1:8" ht="15.75">
      <c r="A12" s="130"/>
      <c r="B12" s="131">
        <f>DATE(2018,10,1)</f>
        <v>43374</v>
      </c>
      <c r="C12" s="204">
        <v>10436409</v>
      </c>
      <c r="D12" s="204">
        <v>2198531</v>
      </c>
      <c r="E12" s="204">
        <v>1651958.5</v>
      </c>
      <c r="F12" s="132">
        <f>(+D12-E12)/E12</f>
        <v>0.3308633358525653</v>
      </c>
      <c r="G12" s="215">
        <f>D12/C12</f>
        <v>0.2106597202160245</v>
      </c>
      <c r="H12" s="123"/>
    </row>
    <row r="13" spans="1:8" ht="15.75" thickBot="1">
      <c r="A13" s="133"/>
      <c r="B13" s="134"/>
      <c r="C13" s="204"/>
      <c r="D13" s="204"/>
      <c r="E13" s="204"/>
      <c r="F13" s="132"/>
      <c r="G13" s="215"/>
      <c r="H13" s="123"/>
    </row>
    <row r="14" spans="1:8" ht="17.25" thickBot="1" thickTop="1">
      <c r="A14" s="135" t="s">
        <v>14</v>
      </c>
      <c r="B14" s="136"/>
      <c r="C14" s="201">
        <f>SUM(C9:C13)</f>
        <v>41205309</v>
      </c>
      <c r="D14" s="201">
        <f>SUM(D9:D13)</f>
        <v>7760346.5</v>
      </c>
      <c r="E14" s="201">
        <f>SUM(E9:E13)</f>
        <v>6718504.98</v>
      </c>
      <c r="F14" s="137">
        <f>(+D14-E14)/E14</f>
        <v>0.1550704394953056</v>
      </c>
      <c r="G14" s="212">
        <f>D14/C14</f>
        <v>0.1883336562286185</v>
      </c>
      <c r="H14" s="123"/>
    </row>
    <row r="15" spans="1:8" ht="15.75" customHeight="1" thickTop="1">
      <c r="A15" s="138"/>
      <c r="B15" s="139"/>
      <c r="C15" s="205"/>
      <c r="D15" s="205"/>
      <c r="E15" s="205"/>
      <c r="F15" s="140"/>
      <c r="G15" s="216"/>
      <c r="H15" s="123"/>
    </row>
    <row r="16" spans="1:8" ht="15.75">
      <c r="A16" s="19" t="s">
        <v>15</v>
      </c>
      <c r="B16" s="131">
        <f>DATE(2018,7,1)</f>
        <v>43282</v>
      </c>
      <c r="C16" s="204">
        <v>2618283</v>
      </c>
      <c r="D16" s="204">
        <v>544502.5</v>
      </c>
      <c r="E16" s="204">
        <v>642088</v>
      </c>
      <c r="F16" s="132">
        <f>(+D16-E16)/E16</f>
        <v>-0.15198150409289693</v>
      </c>
      <c r="G16" s="215">
        <f>D16/C16</f>
        <v>0.2079616680091495</v>
      </c>
      <c r="H16" s="123"/>
    </row>
    <row r="17" spans="1:8" ht="15.75">
      <c r="A17" s="19"/>
      <c r="B17" s="131">
        <f>DATE(2018,8,1)</f>
        <v>43313</v>
      </c>
      <c r="C17" s="204">
        <v>2865412</v>
      </c>
      <c r="D17" s="204">
        <v>656165</v>
      </c>
      <c r="E17" s="204">
        <v>490413</v>
      </c>
      <c r="F17" s="132">
        <f>(+D17-E17)/E17</f>
        <v>0.3379845150923813</v>
      </c>
      <c r="G17" s="215">
        <f>D17/C17</f>
        <v>0.22899499269215037</v>
      </c>
      <c r="H17" s="123"/>
    </row>
    <row r="18" spans="1:8" ht="15.75">
      <c r="A18" s="19"/>
      <c r="B18" s="131">
        <f>DATE(2018,9,1)</f>
        <v>43344</v>
      </c>
      <c r="C18" s="204">
        <v>2858660</v>
      </c>
      <c r="D18" s="204">
        <v>251895.5</v>
      </c>
      <c r="E18" s="204">
        <v>534707</v>
      </c>
      <c r="F18" s="132">
        <f>(+D18-E18)/E18</f>
        <v>-0.5289092905086337</v>
      </c>
      <c r="G18" s="215">
        <f>D18/C18</f>
        <v>0.08811663506677954</v>
      </c>
      <c r="H18" s="123"/>
    </row>
    <row r="19" spans="1:8" ht="15.75">
      <c r="A19" s="19"/>
      <c r="B19" s="131">
        <f>DATE(2018,10,1)</f>
        <v>43374</v>
      </c>
      <c r="C19" s="204">
        <v>2984353</v>
      </c>
      <c r="D19" s="204">
        <v>763257.5</v>
      </c>
      <c r="E19" s="204">
        <v>515461.5</v>
      </c>
      <c r="F19" s="132">
        <f>(+D19-E19)/E19</f>
        <v>0.4807264946072597</v>
      </c>
      <c r="G19" s="215">
        <f>D19/C19</f>
        <v>0.2557530895306286</v>
      </c>
      <c r="H19" s="123"/>
    </row>
    <row r="20" spans="1:8" ht="15.75" thickBot="1">
      <c r="A20" s="133"/>
      <c r="B20" s="131"/>
      <c r="C20" s="204"/>
      <c r="D20" s="204"/>
      <c r="E20" s="204"/>
      <c r="F20" s="132"/>
      <c r="G20" s="215"/>
      <c r="H20" s="123"/>
    </row>
    <row r="21" spans="1:8" ht="17.25" thickBot="1" thickTop="1">
      <c r="A21" s="135" t="s">
        <v>14</v>
      </c>
      <c r="B21" s="136"/>
      <c r="C21" s="201">
        <f>SUM(C16:C20)</f>
        <v>11326708</v>
      </c>
      <c r="D21" s="201">
        <f>SUM(D16:D20)</f>
        <v>2215820.5</v>
      </c>
      <c r="E21" s="201">
        <f>SUM(E16:E20)</f>
        <v>2182669.5</v>
      </c>
      <c r="F21" s="137">
        <f>(+D21-E21)/E21</f>
        <v>0.015188282055528792</v>
      </c>
      <c r="G21" s="212">
        <f>D21/C21</f>
        <v>0.19562793531889408</v>
      </c>
      <c r="H21" s="123"/>
    </row>
    <row r="22" spans="1:8" ht="15.75" customHeight="1" thickTop="1">
      <c r="A22" s="255"/>
      <c r="B22" s="139"/>
      <c r="C22" s="205"/>
      <c r="D22" s="205"/>
      <c r="E22" s="205"/>
      <c r="F22" s="140"/>
      <c r="G22" s="219"/>
      <c r="H22" s="123"/>
    </row>
    <row r="23" spans="1:8" ht="15.75">
      <c r="A23" s="19" t="s">
        <v>56</v>
      </c>
      <c r="B23" s="131">
        <f>DATE(2018,7,1)</f>
        <v>43282</v>
      </c>
      <c r="C23" s="204">
        <v>1379575</v>
      </c>
      <c r="D23" s="204">
        <v>373264</v>
      </c>
      <c r="E23" s="204">
        <v>330815.5</v>
      </c>
      <c r="F23" s="132">
        <f>(+D23-E23)/E23</f>
        <v>0.12831472527738272</v>
      </c>
      <c r="G23" s="215">
        <f>D23/C23</f>
        <v>0.27056448543935635</v>
      </c>
      <c r="H23" s="123"/>
    </row>
    <row r="24" spans="1:8" ht="15.75">
      <c r="A24" s="19"/>
      <c r="B24" s="131">
        <f>DATE(2018,8,1)</f>
        <v>43313</v>
      </c>
      <c r="C24" s="204">
        <v>1464999</v>
      </c>
      <c r="D24" s="204">
        <v>339140.5</v>
      </c>
      <c r="E24" s="204">
        <v>326287.5</v>
      </c>
      <c r="F24" s="132">
        <f>(+D24-E24)/E24</f>
        <v>0.03939164080757001</v>
      </c>
      <c r="G24" s="215">
        <f>D24/C24</f>
        <v>0.23149537986032756</v>
      </c>
      <c r="H24" s="123"/>
    </row>
    <row r="25" spans="1:8" ht="15.75">
      <c r="A25" s="19"/>
      <c r="B25" s="131">
        <f>DATE(2018,9,1)</f>
        <v>43344</v>
      </c>
      <c r="C25" s="204">
        <v>1388620</v>
      </c>
      <c r="D25" s="204">
        <v>349109</v>
      </c>
      <c r="E25" s="204">
        <v>453438</v>
      </c>
      <c r="F25" s="132">
        <f>(+D25-E25)/E25</f>
        <v>-0.2300843775775299</v>
      </c>
      <c r="G25" s="215">
        <f>D25/C25</f>
        <v>0.2514071524247094</v>
      </c>
      <c r="H25" s="123"/>
    </row>
    <row r="26" spans="1:8" ht="15.75">
      <c r="A26" s="19"/>
      <c r="B26" s="131">
        <f>DATE(2018,10,1)</f>
        <v>43374</v>
      </c>
      <c r="C26" s="204">
        <v>1282080</v>
      </c>
      <c r="D26" s="204">
        <v>213321.5</v>
      </c>
      <c r="E26" s="204">
        <v>325504</v>
      </c>
      <c r="F26" s="132">
        <f>(+D26-E26)/E26</f>
        <v>-0.34464246215100275</v>
      </c>
      <c r="G26" s="215">
        <f>D26/C26</f>
        <v>0.16638704293023837</v>
      </c>
      <c r="H26" s="123"/>
    </row>
    <row r="27" spans="1:8" ht="15.75" thickBot="1">
      <c r="A27" s="133"/>
      <c r="B27" s="131"/>
      <c r="C27" s="204"/>
      <c r="D27" s="204"/>
      <c r="E27" s="204"/>
      <c r="F27" s="132"/>
      <c r="G27" s="215"/>
      <c r="H27" s="123"/>
    </row>
    <row r="28" spans="1:8" ht="17.25" thickBot="1" thickTop="1">
      <c r="A28" s="141" t="s">
        <v>14</v>
      </c>
      <c r="B28" s="142"/>
      <c r="C28" s="206">
        <f>SUM(C23:C27)</f>
        <v>5515274</v>
      </c>
      <c r="D28" s="206">
        <f>SUM(D23:D27)</f>
        <v>1274835</v>
      </c>
      <c r="E28" s="206">
        <f>SUM(E23:E27)</f>
        <v>1436045</v>
      </c>
      <c r="F28" s="143">
        <f>(+D28-E28)/E28</f>
        <v>-0.11225971330981968</v>
      </c>
      <c r="G28" s="217">
        <f>D28/C28</f>
        <v>0.23114626761970483</v>
      </c>
      <c r="H28" s="123"/>
    </row>
    <row r="29" spans="1:8" ht="15.75" thickTop="1">
      <c r="A29" s="133"/>
      <c r="B29" s="134"/>
      <c r="C29" s="204"/>
      <c r="D29" s="204"/>
      <c r="E29" s="204"/>
      <c r="F29" s="132"/>
      <c r="G29" s="218"/>
      <c r="H29" s="123"/>
    </row>
    <row r="30" spans="1:8" ht="15.75">
      <c r="A30" s="177" t="s">
        <v>65</v>
      </c>
      <c r="B30" s="131">
        <f>DATE(2018,7,1)</f>
        <v>43282</v>
      </c>
      <c r="C30" s="204">
        <v>14770922.01</v>
      </c>
      <c r="D30" s="204">
        <v>2640847.24</v>
      </c>
      <c r="E30" s="204">
        <v>3444933.46</v>
      </c>
      <c r="F30" s="132">
        <f>(+D30-E30)/E30</f>
        <v>-0.23341124852960143</v>
      </c>
      <c r="G30" s="215">
        <f>D30/C30</f>
        <v>0.17878689212576787</v>
      </c>
      <c r="H30" s="123"/>
    </row>
    <row r="31" spans="1:8" ht="15.75">
      <c r="A31" s="177"/>
      <c r="B31" s="131">
        <f>DATE(2018,8,1)</f>
        <v>43313</v>
      </c>
      <c r="C31" s="204">
        <v>14974767</v>
      </c>
      <c r="D31" s="204">
        <v>3019576.86</v>
      </c>
      <c r="E31" s="204">
        <v>2738890.99</v>
      </c>
      <c r="F31" s="132">
        <f>(+D31-E31)/E31</f>
        <v>0.10248157777173877</v>
      </c>
      <c r="G31" s="215">
        <f>D31/C31</f>
        <v>0.20164433009208088</v>
      </c>
      <c r="H31" s="123"/>
    </row>
    <row r="32" spans="1:8" ht="15.75">
      <c r="A32" s="177"/>
      <c r="B32" s="131">
        <f>DATE(2018,9,1)</f>
        <v>43344</v>
      </c>
      <c r="C32" s="204">
        <v>13265110.25</v>
      </c>
      <c r="D32" s="204">
        <v>3074145.25</v>
      </c>
      <c r="E32" s="204">
        <v>3077099.69</v>
      </c>
      <c r="F32" s="132">
        <f>(+D32-E32)/E32</f>
        <v>-0.0009601378888052679</v>
      </c>
      <c r="G32" s="215">
        <f>D32/C32</f>
        <v>0.23174667922567774</v>
      </c>
      <c r="H32" s="123"/>
    </row>
    <row r="33" spans="1:8" ht="15.75">
      <c r="A33" s="177"/>
      <c r="B33" s="131">
        <f>DATE(2018,10,1)</f>
        <v>43374</v>
      </c>
      <c r="C33" s="204">
        <v>12792793</v>
      </c>
      <c r="D33" s="204">
        <v>2577292.69</v>
      </c>
      <c r="E33" s="204">
        <v>2596719.93</v>
      </c>
      <c r="F33" s="132">
        <f>(+D33-E33)/E33</f>
        <v>-0.0074814537276648935</v>
      </c>
      <c r="G33" s="215">
        <f>D33/C33</f>
        <v>0.20146442532135087</v>
      </c>
      <c r="H33" s="123"/>
    </row>
    <row r="34" spans="1:8" ht="15.75" customHeight="1" thickBot="1">
      <c r="A34" s="133"/>
      <c r="B34" s="134"/>
      <c r="C34" s="204"/>
      <c r="D34" s="204"/>
      <c r="E34" s="204"/>
      <c r="F34" s="132"/>
      <c r="G34" s="215"/>
      <c r="H34" s="123"/>
    </row>
    <row r="35" spans="1:8" ht="17.25" customHeight="1" thickBot="1" thickTop="1">
      <c r="A35" s="141" t="s">
        <v>14</v>
      </c>
      <c r="B35" s="142"/>
      <c r="C35" s="206">
        <f>SUM(C30:C34)</f>
        <v>55803592.26</v>
      </c>
      <c r="D35" s="206">
        <f>SUM(D30:D34)</f>
        <v>11311862.04</v>
      </c>
      <c r="E35" s="206">
        <f>SUM(E30:E34)</f>
        <v>11857644.07</v>
      </c>
      <c r="F35" s="143">
        <f>(+D35-E35)/E35</f>
        <v>-0.04602786411685582</v>
      </c>
      <c r="G35" s="217">
        <f>D35/C35</f>
        <v>0.20270849208588207</v>
      </c>
      <c r="H35" s="123"/>
    </row>
    <row r="36" spans="1:8" ht="15.75" customHeight="1" thickTop="1">
      <c r="A36" s="133"/>
      <c r="B36" s="134"/>
      <c r="C36" s="204"/>
      <c r="D36" s="204"/>
      <c r="E36" s="204"/>
      <c r="F36" s="132"/>
      <c r="G36" s="218"/>
      <c r="H36" s="123"/>
    </row>
    <row r="37" spans="1:8" ht="15" customHeight="1">
      <c r="A37" s="130" t="s">
        <v>39</v>
      </c>
      <c r="B37" s="131">
        <f>DATE(2018,7,1)</f>
        <v>43282</v>
      </c>
      <c r="C37" s="204">
        <v>16232884.5</v>
      </c>
      <c r="D37" s="204">
        <v>3513953.5</v>
      </c>
      <c r="E37" s="204">
        <v>4591352</v>
      </c>
      <c r="F37" s="132">
        <f>(+D37-E37)/E37</f>
        <v>-0.23465822267602224</v>
      </c>
      <c r="G37" s="215">
        <f>D37/C37</f>
        <v>0.21647129319499564</v>
      </c>
      <c r="H37" s="123"/>
    </row>
    <row r="38" spans="1:8" ht="15" customHeight="1">
      <c r="A38" s="130"/>
      <c r="B38" s="131">
        <f>DATE(2018,8,1)</f>
        <v>43313</v>
      </c>
      <c r="C38" s="204">
        <v>16145647</v>
      </c>
      <c r="D38" s="204">
        <v>3570821.5</v>
      </c>
      <c r="E38" s="204">
        <v>3842200.5</v>
      </c>
      <c r="F38" s="132">
        <f>(+D38-E38)/E38</f>
        <v>-0.07063113962949097</v>
      </c>
      <c r="G38" s="215">
        <f>D38/C38</f>
        <v>0.22116310978432763</v>
      </c>
      <c r="H38" s="123"/>
    </row>
    <row r="39" spans="1:8" ht="15" customHeight="1">
      <c r="A39" s="130"/>
      <c r="B39" s="131">
        <f>DATE(2018,9,1)</f>
        <v>43344</v>
      </c>
      <c r="C39" s="204">
        <v>16222388</v>
      </c>
      <c r="D39" s="204">
        <v>3367544</v>
      </c>
      <c r="E39" s="204">
        <v>3686124</v>
      </c>
      <c r="F39" s="132">
        <f>(+D39-E39)/E39</f>
        <v>-0.08642682666128432</v>
      </c>
      <c r="G39" s="215">
        <f>D39/C39</f>
        <v>0.2075862074067024</v>
      </c>
      <c r="H39" s="123"/>
    </row>
    <row r="40" spans="1:8" ht="15" customHeight="1">
      <c r="A40" s="130"/>
      <c r="B40" s="131">
        <f>DATE(2018,10,1)</f>
        <v>43374</v>
      </c>
      <c r="C40" s="204">
        <v>17396784</v>
      </c>
      <c r="D40" s="204">
        <v>3631888</v>
      </c>
      <c r="E40" s="204">
        <v>2992221.5</v>
      </c>
      <c r="F40" s="132">
        <f>(+D40-E40)/E40</f>
        <v>0.21377645338087436</v>
      </c>
      <c r="G40" s="215">
        <f>D40/C40</f>
        <v>0.20876778144742156</v>
      </c>
      <c r="H40" s="123"/>
    </row>
    <row r="41" spans="1:8" ht="15.75" thickBot="1">
      <c r="A41" s="133"/>
      <c r="B41" s="131"/>
      <c r="C41" s="204"/>
      <c r="D41" s="204"/>
      <c r="E41" s="204"/>
      <c r="F41" s="132"/>
      <c r="G41" s="215"/>
      <c r="H41" s="123"/>
    </row>
    <row r="42" spans="1:8" ht="17.25" customHeight="1" thickBot="1" thickTop="1">
      <c r="A42" s="141" t="s">
        <v>14</v>
      </c>
      <c r="B42" s="142"/>
      <c r="C42" s="207">
        <f>SUM(C37:C41)</f>
        <v>65997703.5</v>
      </c>
      <c r="D42" s="261">
        <f>SUM(D37:D41)</f>
        <v>14084207</v>
      </c>
      <c r="E42" s="206">
        <f>SUM(E37:E41)</f>
        <v>15111898</v>
      </c>
      <c r="F42" s="268">
        <f>(+D42-E42)/E42</f>
        <v>-0.06800542195295389</v>
      </c>
      <c r="G42" s="267">
        <f>D42/C42</f>
        <v>0.2134045012641993</v>
      </c>
      <c r="H42" s="123"/>
    </row>
    <row r="43" spans="1:8" ht="15.75" customHeight="1" thickTop="1">
      <c r="A43" s="130"/>
      <c r="B43" s="134"/>
      <c r="C43" s="204"/>
      <c r="D43" s="204"/>
      <c r="E43" s="204"/>
      <c r="F43" s="132"/>
      <c r="G43" s="218"/>
      <c r="H43" s="123"/>
    </row>
    <row r="44" spans="1:8" ht="15.75">
      <c r="A44" s="130" t="s">
        <v>66</v>
      </c>
      <c r="B44" s="131">
        <f>DATE(2018,7,1)</f>
        <v>43282</v>
      </c>
      <c r="C44" s="204">
        <v>2606833</v>
      </c>
      <c r="D44" s="204">
        <v>682875.5</v>
      </c>
      <c r="E44" s="204">
        <v>703792.5</v>
      </c>
      <c r="F44" s="132">
        <f>(+D44-E44)/E44</f>
        <v>-0.029720407648561188</v>
      </c>
      <c r="G44" s="215">
        <f>D44/C44</f>
        <v>0.26195598260417907</v>
      </c>
      <c r="H44" s="123"/>
    </row>
    <row r="45" spans="1:8" ht="15.75">
      <c r="A45" s="130"/>
      <c r="B45" s="131">
        <f>DATE(2018,8,1)</f>
        <v>43313</v>
      </c>
      <c r="C45" s="204">
        <v>2586664</v>
      </c>
      <c r="D45" s="204">
        <v>651283.5</v>
      </c>
      <c r="E45" s="204">
        <v>551376.5</v>
      </c>
      <c r="F45" s="132">
        <f>(+D45-E45)/E45</f>
        <v>0.1811956077199518</v>
      </c>
      <c r="G45" s="215">
        <f>D45/C45</f>
        <v>0.2517851178197091</v>
      </c>
      <c r="H45" s="123"/>
    </row>
    <row r="46" spans="1:8" ht="15.75">
      <c r="A46" s="130"/>
      <c r="B46" s="131">
        <f>DATE(2018,9,1)</f>
        <v>43344</v>
      </c>
      <c r="C46" s="204">
        <v>2355213</v>
      </c>
      <c r="D46" s="204">
        <v>584999.5</v>
      </c>
      <c r="E46" s="204">
        <v>737458.5</v>
      </c>
      <c r="F46" s="132">
        <f>(+D46-E46)/E46</f>
        <v>-0.20673570105978845</v>
      </c>
      <c r="G46" s="215">
        <f>D46/C46</f>
        <v>0.2483849656060832</v>
      </c>
      <c r="H46" s="123"/>
    </row>
    <row r="47" spans="1:8" ht="15.75">
      <c r="A47" s="130"/>
      <c r="B47" s="131">
        <f>DATE(2018,10,1)</f>
        <v>43374</v>
      </c>
      <c r="C47" s="204">
        <v>2214253</v>
      </c>
      <c r="D47" s="204">
        <v>681963.5</v>
      </c>
      <c r="E47" s="204">
        <v>599085</v>
      </c>
      <c r="F47" s="132">
        <f>(+D47-E47)/E47</f>
        <v>0.13834180458532597</v>
      </c>
      <c r="G47" s="215">
        <f>D47/C47</f>
        <v>0.3079880664043359</v>
      </c>
      <c r="H47" s="123"/>
    </row>
    <row r="48" spans="1:8" ht="15.75" customHeight="1" thickBot="1">
      <c r="A48" s="130"/>
      <c r="B48" s="131"/>
      <c r="C48" s="204"/>
      <c r="D48" s="204"/>
      <c r="E48" s="204"/>
      <c r="F48" s="132"/>
      <c r="G48" s="215"/>
      <c r="H48" s="123"/>
    </row>
    <row r="49" spans="1:8" ht="17.25" thickBot="1" thickTop="1">
      <c r="A49" s="141" t="s">
        <v>14</v>
      </c>
      <c r="B49" s="142"/>
      <c r="C49" s="207">
        <f>SUM(C44:C48)</f>
        <v>9762963</v>
      </c>
      <c r="D49" s="261">
        <f>SUM(D44:D48)</f>
        <v>2601122</v>
      </c>
      <c r="E49" s="207">
        <f>SUM(E44:E48)</f>
        <v>2591712.5</v>
      </c>
      <c r="F49" s="268">
        <f>(+D49-E49)/E49</f>
        <v>0.003630611034210006</v>
      </c>
      <c r="G49" s="267">
        <f>D49/C49</f>
        <v>0.266427517957407</v>
      </c>
      <c r="H49" s="123"/>
    </row>
    <row r="50" spans="1:8" ht="15.75" customHeight="1" thickTop="1">
      <c r="A50" s="130"/>
      <c r="B50" s="134"/>
      <c r="C50" s="204"/>
      <c r="D50" s="204"/>
      <c r="E50" s="204"/>
      <c r="F50" s="132"/>
      <c r="G50" s="218"/>
      <c r="H50" s="123"/>
    </row>
    <row r="51" spans="1:8" ht="15.75">
      <c r="A51" s="130" t="s">
        <v>17</v>
      </c>
      <c r="B51" s="131">
        <f>DATE(2018,7,1)</f>
        <v>43282</v>
      </c>
      <c r="C51" s="204">
        <v>1436883</v>
      </c>
      <c r="D51" s="204">
        <v>395162.5</v>
      </c>
      <c r="E51" s="204">
        <v>362602</v>
      </c>
      <c r="F51" s="132">
        <f>(+D51-E51)/E51</f>
        <v>0.08979680200329838</v>
      </c>
      <c r="G51" s="215">
        <f>D51/C51</f>
        <v>0.2750136928337241</v>
      </c>
      <c r="H51" s="123"/>
    </row>
    <row r="52" spans="1:8" ht="15.75">
      <c r="A52" s="130"/>
      <c r="B52" s="131">
        <f>DATE(2018,8,1)</f>
        <v>43313</v>
      </c>
      <c r="C52" s="204">
        <v>1346022</v>
      </c>
      <c r="D52" s="204">
        <v>271146</v>
      </c>
      <c r="E52" s="204">
        <v>327445</v>
      </c>
      <c r="F52" s="132">
        <f>(+D52-E52)/E52</f>
        <v>-0.17193421796026814</v>
      </c>
      <c r="G52" s="215">
        <f>D52/C52</f>
        <v>0.20144247270846985</v>
      </c>
      <c r="H52" s="123"/>
    </row>
    <row r="53" spans="1:8" ht="15.75">
      <c r="A53" s="130"/>
      <c r="B53" s="131">
        <f>DATE(2018,9,1)</f>
        <v>43344</v>
      </c>
      <c r="C53" s="204">
        <v>1317459</v>
      </c>
      <c r="D53" s="204">
        <v>347747</v>
      </c>
      <c r="E53" s="204">
        <v>332251.5</v>
      </c>
      <c r="F53" s="132">
        <f>(+D53-E53)/E53</f>
        <v>0.04663786318496681</v>
      </c>
      <c r="G53" s="215">
        <f>D53/C53</f>
        <v>0.2639528061214808</v>
      </c>
      <c r="H53" s="123"/>
    </row>
    <row r="54" spans="1:8" ht="15.75">
      <c r="A54" s="130"/>
      <c r="B54" s="131">
        <f>DATE(2018,10,1)</f>
        <v>43374</v>
      </c>
      <c r="C54" s="204">
        <v>1265550</v>
      </c>
      <c r="D54" s="204">
        <v>240203.5</v>
      </c>
      <c r="E54" s="204">
        <v>339253.5</v>
      </c>
      <c r="F54" s="132">
        <f>(+D54-E54)/E54</f>
        <v>-0.29196456337222754</v>
      </c>
      <c r="G54" s="215">
        <f>D54/C54</f>
        <v>0.18980166725929437</v>
      </c>
      <c r="H54" s="123"/>
    </row>
    <row r="55" spans="1:8" ht="15.75" customHeight="1" thickBot="1">
      <c r="A55" s="130"/>
      <c r="B55" s="131"/>
      <c r="C55" s="204"/>
      <c r="D55" s="204"/>
      <c r="E55" s="204"/>
      <c r="F55" s="132"/>
      <c r="G55" s="215"/>
      <c r="H55" s="123"/>
    </row>
    <row r="56" spans="1:8" ht="17.25" thickBot="1" thickTop="1">
      <c r="A56" s="141" t="s">
        <v>14</v>
      </c>
      <c r="B56" s="142"/>
      <c r="C56" s="207">
        <f>SUM(C51:C55)</f>
        <v>5365914</v>
      </c>
      <c r="D56" s="261">
        <f>SUM(D51:D55)</f>
        <v>1254259</v>
      </c>
      <c r="E56" s="207">
        <f>SUM(E51:E55)</f>
        <v>1361552</v>
      </c>
      <c r="F56" s="269">
        <f>(+D56-E56)/E56</f>
        <v>-0.07880198479382351</v>
      </c>
      <c r="G56" s="267">
        <f>D56/C56</f>
        <v>0.2337456396058528</v>
      </c>
      <c r="H56" s="123"/>
    </row>
    <row r="57" spans="1:8" ht="15.75" customHeight="1" thickTop="1">
      <c r="A57" s="130"/>
      <c r="B57" s="139"/>
      <c r="C57" s="205"/>
      <c r="D57" s="205"/>
      <c r="E57" s="205"/>
      <c r="F57" s="140"/>
      <c r="G57" s="216"/>
      <c r="H57" s="123"/>
    </row>
    <row r="58" spans="1:8" ht="15.75">
      <c r="A58" s="130" t="s">
        <v>55</v>
      </c>
      <c r="B58" s="131">
        <f>DATE(2018,7,1)</f>
        <v>43282</v>
      </c>
      <c r="C58" s="204">
        <v>13110915</v>
      </c>
      <c r="D58" s="204">
        <v>2057880.1</v>
      </c>
      <c r="E58" s="204">
        <v>2414267.38</v>
      </c>
      <c r="F58" s="132">
        <f>(+D58-E58)/E58</f>
        <v>-0.14761715415299187</v>
      </c>
      <c r="G58" s="215">
        <f>D58/C58</f>
        <v>0.1569593045184108</v>
      </c>
      <c r="H58" s="123"/>
    </row>
    <row r="59" spans="1:8" ht="15.75">
      <c r="A59" s="130"/>
      <c r="B59" s="131">
        <f>DATE(2018,8,1)</f>
        <v>43313</v>
      </c>
      <c r="C59" s="204">
        <v>13239234</v>
      </c>
      <c r="D59" s="204">
        <v>2105874.34</v>
      </c>
      <c r="E59" s="204">
        <v>2346748.3</v>
      </c>
      <c r="F59" s="132">
        <f>(+D59-E59)/E59</f>
        <v>-0.10264158282334751</v>
      </c>
      <c r="G59" s="215">
        <f>D59/C59</f>
        <v>0.15906315576867966</v>
      </c>
      <c r="H59" s="123"/>
    </row>
    <row r="60" spans="1:8" ht="15.75">
      <c r="A60" s="130"/>
      <c r="B60" s="131">
        <f>DATE(2018,9,1)</f>
        <v>43344</v>
      </c>
      <c r="C60" s="204">
        <v>12390658</v>
      </c>
      <c r="D60" s="204">
        <v>2555133.64</v>
      </c>
      <c r="E60" s="204">
        <v>2183188.72</v>
      </c>
      <c r="F60" s="132">
        <f>(+D60-E60)/E60</f>
        <v>0.17036773623491416</v>
      </c>
      <c r="G60" s="215">
        <f>D60/C60</f>
        <v>0.20621452387758585</v>
      </c>
      <c r="H60" s="123"/>
    </row>
    <row r="61" spans="1:8" ht="15.75">
      <c r="A61" s="130"/>
      <c r="B61" s="131">
        <f>DATE(2018,10,1)</f>
        <v>43374</v>
      </c>
      <c r="C61" s="204">
        <v>12275724</v>
      </c>
      <c r="D61" s="204">
        <v>2663687.6</v>
      </c>
      <c r="E61" s="204">
        <v>1755251.41</v>
      </c>
      <c r="F61" s="132">
        <f>(+D61-E61)/E61</f>
        <v>0.5175533173336122</v>
      </c>
      <c r="G61" s="215">
        <f>D61/C61</f>
        <v>0.21698822814849864</v>
      </c>
      <c r="H61" s="123"/>
    </row>
    <row r="62" spans="1:8" ht="15.75" customHeight="1" thickBot="1">
      <c r="A62" s="130"/>
      <c r="B62" s="131"/>
      <c r="C62" s="204"/>
      <c r="D62" s="204"/>
      <c r="E62" s="204"/>
      <c r="F62" s="132"/>
      <c r="G62" s="215"/>
      <c r="H62" s="123"/>
    </row>
    <row r="63" spans="1:8" ht="17.25" thickBot="1" thickTop="1">
      <c r="A63" s="141" t="s">
        <v>14</v>
      </c>
      <c r="B63" s="142"/>
      <c r="C63" s="206">
        <f>SUM(C58:C62)</f>
        <v>51016531</v>
      </c>
      <c r="D63" s="206">
        <f>SUM(D58:D62)</f>
        <v>9382575.68</v>
      </c>
      <c r="E63" s="206">
        <f>SUM(E58:E62)</f>
        <v>8699455.81</v>
      </c>
      <c r="F63" s="143">
        <f>(+D63-E63)/E63</f>
        <v>0.07852443703602181</v>
      </c>
      <c r="G63" s="217">
        <f>D63/C63</f>
        <v>0.18391245927717037</v>
      </c>
      <c r="H63" s="123"/>
    </row>
    <row r="64" spans="1:8" ht="15.75" customHeight="1" thickTop="1">
      <c r="A64" s="138"/>
      <c r="B64" s="139"/>
      <c r="C64" s="205"/>
      <c r="D64" s="205"/>
      <c r="E64" s="205"/>
      <c r="F64" s="140"/>
      <c r="G64" s="216"/>
      <c r="H64" s="123"/>
    </row>
    <row r="65" spans="1:8" ht="15.75">
      <c r="A65" s="130" t="s">
        <v>18</v>
      </c>
      <c r="B65" s="131">
        <f>DATE(2018,7,1)</f>
        <v>43282</v>
      </c>
      <c r="C65" s="204">
        <v>13620105.34</v>
      </c>
      <c r="D65" s="204">
        <v>2729067.84</v>
      </c>
      <c r="E65" s="204">
        <v>2350317.5</v>
      </c>
      <c r="F65" s="132">
        <f>(+D65-E65)/E65</f>
        <v>0.16114858524433395</v>
      </c>
      <c r="G65" s="215">
        <f>D65/C65</f>
        <v>0.20037053839702534</v>
      </c>
      <c r="H65" s="123"/>
    </row>
    <row r="66" spans="1:8" ht="15.75">
      <c r="A66" s="130"/>
      <c r="B66" s="131">
        <f>DATE(2018,8,1)</f>
        <v>43313</v>
      </c>
      <c r="C66" s="204">
        <v>12049552</v>
      </c>
      <c r="D66" s="204">
        <v>2970026</v>
      </c>
      <c r="E66" s="204">
        <v>1942234.5</v>
      </c>
      <c r="F66" s="132">
        <f>(+D66-E66)/E66</f>
        <v>0.5291799213740668</v>
      </c>
      <c r="G66" s="215">
        <f>D66/C66</f>
        <v>0.2464843506215003</v>
      </c>
      <c r="H66" s="123"/>
    </row>
    <row r="67" spans="1:8" ht="15.75">
      <c r="A67" s="130"/>
      <c r="B67" s="131">
        <f>DATE(2018,9,1)</f>
        <v>43344</v>
      </c>
      <c r="C67" s="204">
        <v>11797906</v>
      </c>
      <c r="D67" s="204">
        <v>2637488.5</v>
      </c>
      <c r="E67" s="204">
        <v>2639234.26</v>
      </c>
      <c r="F67" s="132">
        <f>(+D67-E67)/E67</f>
        <v>-0.0006614645870805635</v>
      </c>
      <c r="G67" s="215">
        <f>D67/C67</f>
        <v>0.22355564623078028</v>
      </c>
      <c r="H67" s="123"/>
    </row>
    <row r="68" spans="1:8" ht="15.75">
      <c r="A68" s="130"/>
      <c r="B68" s="131">
        <f>DATE(2018,10,1)</f>
        <v>43374</v>
      </c>
      <c r="C68" s="204">
        <v>11119336</v>
      </c>
      <c r="D68" s="204">
        <v>1894492</v>
      </c>
      <c r="E68" s="204">
        <v>2495709.5</v>
      </c>
      <c r="F68" s="132">
        <f>(+D68-E68)/E68</f>
        <v>-0.2409004333236701</v>
      </c>
      <c r="G68" s="215">
        <f>D68/C68</f>
        <v>0.17037815927138095</v>
      </c>
      <c r="H68" s="123"/>
    </row>
    <row r="69" spans="1:8" ht="15.75" customHeight="1" thickBot="1">
      <c r="A69" s="130"/>
      <c r="B69" s="131"/>
      <c r="C69" s="204"/>
      <c r="D69" s="204"/>
      <c r="E69" s="204"/>
      <c r="F69" s="132"/>
      <c r="G69" s="215"/>
      <c r="H69" s="123"/>
    </row>
    <row r="70" spans="1:8" ht="17.25" thickBot="1" thickTop="1">
      <c r="A70" s="141" t="s">
        <v>14</v>
      </c>
      <c r="B70" s="142"/>
      <c r="C70" s="206">
        <f>SUM(C65:C69)</f>
        <v>48586899.34</v>
      </c>
      <c r="D70" s="206">
        <f>SUM(D65:D69)</f>
        <v>10231074.34</v>
      </c>
      <c r="E70" s="206">
        <f>SUM(E65:E69)</f>
        <v>9427495.76</v>
      </c>
      <c r="F70" s="143">
        <f>(+D70-E70)/E70</f>
        <v>0.08523775565187845</v>
      </c>
      <c r="G70" s="217">
        <f>D70/C70</f>
        <v>0.21057269508814058</v>
      </c>
      <c r="H70" s="123"/>
    </row>
    <row r="71" spans="1:8" ht="15.75" customHeight="1" thickTop="1">
      <c r="A71" s="138"/>
      <c r="B71" s="139"/>
      <c r="C71" s="205"/>
      <c r="D71" s="205"/>
      <c r="E71" s="205"/>
      <c r="F71" s="140"/>
      <c r="G71" s="216"/>
      <c r="H71" s="123"/>
    </row>
    <row r="72" spans="1:8" ht="15.75">
      <c r="A72" s="130" t="s">
        <v>58</v>
      </c>
      <c r="B72" s="131">
        <f>DATE(2018,7,1)</f>
        <v>43282</v>
      </c>
      <c r="C72" s="204">
        <v>12908844</v>
      </c>
      <c r="D72" s="204">
        <v>2888136.73</v>
      </c>
      <c r="E72" s="204">
        <v>2354816.66</v>
      </c>
      <c r="F72" s="132">
        <f>(+D72-E72)/E72</f>
        <v>0.22648050655459512</v>
      </c>
      <c r="G72" s="215">
        <f>D72/C72</f>
        <v>0.22373318091069966</v>
      </c>
      <c r="H72" s="123"/>
    </row>
    <row r="73" spans="1:8" ht="15.75">
      <c r="A73" s="130"/>
      <c r="B73" s="131">
        <f>DATE(2018,8,1)</f>
        <v>43313</v>
      </c>
      <c r="C73" s="204">
        <v>11947559</v>
      </c>
      <c r="D73" s="204">
        <v>2450251.84</v>
      </c>
      <c r="E73" s="204">
        <v>1981472</v>
      </c>
      <c r="F73" s="132">
        <f>(+D73-E73)/E73</f>
        <v>0.23658161205406883</v>
      </c>
      <c r="G73" s="215">
        <f>D73/C73</f>
        <v>0.20508388700989047</v>
      </c>
      <c r="H73" s="123"/>
    </row>
    <row r="74" spans="1:8" ht="15.75">
      <c r="A74" s="130"/>
      <c r="B74" s="131">
        <f>DATE(2018,9,1)</f>
        <v>43344</v>
      </c>
      <c r="C74" s="204">
        <v>12029316</v>
      </c>
      <c r="D74" s="204">
        <v>1944257.4</v>
      </c>
      <c r="E74" s="204">
        <v>2416134</v>
      </c>
      <c r="F74" s="132">
        <f>(+D74-E74)/E74</f>
        <v>-0.19530233008599693</v>
      </c>
      <c r="G74" s="215">
        <f>D74/C74</f>
        <v>0.16162659622542128</v>
      </c>
      <c r="H74" s="123"/>
    </row>
    <row r="75" spans="1:8" ht="15.75">
      <c r="A75" s="130"/>
      <c r="B75" s="131">
        <f>DATE(2018,10,1)</f>
        <v>43374</v>
      </c>
      <c r="C75" s="204">
        <v>13251865</v>
      </c>
      <c r="D75" s="204">
        <v>1108774.5</v>
      </c>
      <c r="E75" s="204">
        <v>2118997.32</v>
      </c>
      <c r="F75" s="132">
        <f>(+D75-E75)/E75</f>
        <v>-0.476745680829837</v>
      </c>
      <c r="G75" s="215">
        <f>D75/C75</f>
        <v>0.08366931748851954</v>
      </c>
      <c r="H75" s="123"/>
    </row>
    <row r="76" spans="1:8" ht="15.75" thickBot="1">
      <c r="A76" s="133"/>
      <c r="B76" s="131"/>
      <c r="C76" s="204"/>
      <c r="D76" s="204"/>
      <c r="E76" s="204"/>
      <c r="F76" s="132"/>
      <c r="G76" s="215"/>
      <c r="H76" s="123"/>
    </row>
    <row r="77" spans="1:8" ht="17.25" thickBot="1" thickTop="1">
      <c r="A77" s="141" t="s">
        <v>14</v>
      </c>
      <c r="B77" s="142"/>
      <c r="C77" s="207">
        <f>SUM(C72:C76)</f>
        <v>50137584</v>
      </c>
      <c r="D77" s="207">
        <f>SUM(D72:D76)</f>
        <v>8391420.47</v>
      </c>
      <c r="E77" s="207">
        <f>SUM(E72:E76)</f>
        <v>8871419.98</v>
      </c>
      <c r="F77" s="143">
        <f>(+D77-E77)/E77</f>
        <v>-0.05410627735831753</v>
      </c>
      <c r="G77" s="267">
        <f>D77/C77</f>
        <v>0.16736786658886477</v>
      </c>
      <c r="H77" s="123"/>
    </row>
    <row r="78" spans="1:8" ht="15.75" customHeight="1" thickTop="1">
      <c r="A78" s="138"/>
      <c r="B78" s="139"/>
      <c r="C78" s="205"/>
      <c r="D78" s="205"/>
      <c r="E78" s="205"/>
      <c r="F78" s="140"/>
      <c r="G78" s="219"/>
      <c r="H78" s="123"/>
    </row>
    <row r="79" spans="1:8" ht="15.75">
      <c r="A79" s="130" t="s">
        <v>59</v>
      </c>
      <c r="B79" s="131">
        <f>DATE(2018,7,1)</f>
        <v>43282</v>
      </c>
      <c r="C79" s="204">
        <v>623996.5</v>
      </c>
      <c r="D79" s="204">
        <v>154554.5</v>
      </c>
      <c r="E79" s="204">
        <v>185261.5</v>
      </c>
      <c r="F79" s="132">
        <f>(+D79-E79)/E79</f>
        <v>-0.16574949463326163</v>
      </c>
      <c r="G79" s="215">
        <f>D79/C79</f>
        <v>0.24768488284790058</v>
      </c>
      <c r="H79" s="123"/>
    </row>
    <row r="80" spans="1:8" ht="15.75">
      <c r="A80" s="130"/>
      <c r="B80" s="131">
        <f>DATE(2018,8,1)</f>
        <v>43313</v>
      </c>
      <c r="C80" s="204">
        <v>653768</v>
      </c>
      <c r="D80" s="204">
        <v>228200</v>
      </c>
      <c r="E80" s="204">
        <v>131840.5</v>
      </c>
      <c r="F80" s="132">
        <f>(+D80-E80)/E80</f>
        <v>0.7308793580121434</v>
      </c>
      <c r="G80" s="215">
        <f>D80/C80</f>
        <v>0.34905348686384163</v>
      </c>
      <c r="H80" s="123"/>
    </row>
    <row r="81" spans="1:8" ht="15.75">
      <c r="A81" s="130"/>
      <c r="B81" s="131">
        <f>DATE(2018,9,1)</f>
        <v>43344</v>
      </c>
      <c r="C81" s="204">
        <v>648238</v>
      </c>
      <c r="D81" s="204">
        <v>133253.5</v>
      </c>
      <c r="E81" s="204">
        <v>130165.5</v>
      </c>
      <c r="F81" s="132">
        <f>(+D81-E81)/E81</f>
        <v>0.023723644129972996</v>
      </c>
      <c r="G81" s="215">
        <f>D81/C81</f>
        <v>0.20556261743372034</v>
      </c>
      <c r="H81" s="123"/>
    </row>
    <row r="82" spans="1:8" ht="15.75">
      <c r="A82" s="130"/>
      <c r="B82" s="131">
        <f>DATE(2018,10,1)</f>
        <v>43374</v>
      </c>
      <c r="C82" s="204">
        <v>607581</v>
      </c>
      <c r="D82" s="204">
        <v>183569.5</v>
      </c>
      <c r="E82" s="204">
        <v>213032.5</v>
      </c>
      <c r="F82" s="132">
        <f>(+D82-E82)/E82</f>
        <v>-0.1383028411157922</v>
      </c>
      <c r="G82" s="215">
        <f>D82/C82</f>
        <v>0.30213173222994133</v>
      </c>
      <c r="H82" s="123"/>
    </row>
    <row r="83" spans="1:8" ht="15.75" thickBot="1">
      <c r="A83" s="133"/>
      <c r="B83" s="134"/>
      <c r="C83" s="204"/>
      <c r="D83" s="204"/>
      <c r="E83" s="204"/>
      <c r="F83" s="132"/>
      <c r="G83" s="215"/>
      <c r="H83" s="123"/>
    </row>
    <row r="84" spans="1:8" ht="17.25" thickBot="1" thickTop="1">
      <c r="A84" s="144" t="s">
        <v>14</v>
      </c>
      <c r="B84" s="145"/>
      <c r="C84" s="207">
        <f>SUM(C79:C83)</f>
        <v>2533583.5</v>
      </c>
      <c r="D84" s="207">
        <f>SUM(D79:D83)</f>
        <v>699577.5</v>
      </c>
      <c r="E84" s="207">
        <f>SUM(E79:E83)</f>
        <v>660300</v>
      </c>
      <c r="F84" s="143">
        <f>(+D84-E84)/E84</f>
        <v>0.059484325306678784</v>
      </c>
      <c r="G84" s="217">
        <f>D84/C84</f>
        <v>0.27612174613546386</v>
      </c>
      <c r="H84" s="123"/>
    </row>
    <row r="85" spans="1:8" ht="15.75" customHeight="1" thickTop="1">
      <c r="A85" s="130"/>
      <c r="B85" s="134"/>
      <c r="C85" s="204"/>
      <c r="D85" s="204"/>
      <c r="E85" s="204"/>
      <c r="F85" s="132"/>
      <c r="G85" s="218"/>
      <c r="H85" s="123"/>
    </row>
    <row r="86" spans="1:8" ht="15.75">
      <c r="A86" s="130" t="s">
        <v>40</v>
      </c>
      <c r="B86" s="131">
        <f>DATE(2018,7,1)</f>
        <v>43282</v>
      </c>
      <c r="C86" s="204">
        <v>18395528</v>
      </c>
      <c r="D86" s="204">
        <v>4013253.36</v>
      </c>
      <c r="E86" s="204">
        <v>3485005.33</v>
      </c>
      <c r="F86" s="132">
        <f>(+D86-E86)/E86</f>
        <v>0.15157739514848886</v>
      </c>
      <c r="G86" s="215">
        <f>D86/C86</f>
        <v>0.21816461914004315</v>
      </c>
      <c r="H86" s="123"/>
    </row>
    <row r="87" spans="1:8" ht="15.75">
      <c r="A87" s="130"/>
      <c r="B87" s="131">
        <f>DATE(2018,8,1)</f>
        <v>43313</v>
      </c>
      <c r="C87" s="204">
        <v>18678539</v>
      </c>
      <c r="D87" s="204">
        <v>4234586.6</v>
      </c>
      <c r="E87" s="204">
        <v>2756152.9</v>
      </c>
      <c r="F87" s="132">
        <f>(+D87-E87)/E87</f>
        <v>0.5364120764127418</v>
      </c>
      <c r="G87" s="215">
        <f>D87/C87</f>
        <v>0.22670866281351018</v>
      </c>
      <c r="H87" s="123"/>
    </row>
    <row r="88" spans="1:8" ht="15.75">
      <c r="A88" s="130"/>
      <c r="B88" s="131">
        <f>DATE(2018,9,1)</f>
        <v>43344</v>
      </c>
      <c r="C88" s="204">
        <v>15238679</v>
      </c>
      <c r="D88" s="204">
        <v>3317290.2</v>
      </c>
      <c r="E88" s="204">
        <v>3555670.84</v>
      </c>
      <c r="F88" s="132">
        <f>(+D88-E88)/E88</f>
        <v>-0.06704238123459136</v>
      </c>
      <c r="G88" s="215">
        <f>D88/C88</f>
        <v>0.2176888298519839</v>
      </c>
      <c r="H88" s="123"/>
    </row>
    <row r="89" spans="1:8" ht="15.75">
      <c r="A89" s="130"/>
      <c r="B89" s="131">
        <f>DATE(2018,10,1)</f>
        <v>43374</v>
      </c>
      <c r="C89" s="204">
        <v>14568891</v>
      </c>
      <c r="D89" s="204">
        <v>3010473</v>
      </c>
      <c r="E89" s="204">
        <v>3109647.95</v>
      </c>
      <c r="F89" s="132">
        <f>(+D89-E89)/E89</f>
        <v>-0.03189266167573734</v>
      </c>
      <c r="G89" s="215">
        <f>D89/C89</f>
        <v>0.2066370734738835</v>
      </c>
      <c r="H89" s="123"/>
    </row>
    <row r="90" spans="1:8" ht="15.75" thickBot="1">
      <c r="A90" s="133"/>
      <c r="B90" s="134"/>
      <c r="C90" s="204"/>
      <c r="D90" s="204"/>
      <c r="E90" s="204"/>
      <c r="F90" s="132"/>
      <c r="G90" s="215"/>
      <c r="H90" s="123"/>
    </row>
    <row r="91" spans="1:8" ht="17.25" thickBot="1" thickTop="1">
      <c r="A91" s="141" t="s">
        <v>14</v>
      </c>
      <c r="B91" s="142"/>
      <c r="C91" s="206">
        <f>SUM(C86:C90)</f>
        <v>66881637</v>
      </c>
      <c r="D91" s="207">
        <f>SUM(D86:D90)</f>
        <v>14575603.16</v>
      </c>
      <c r="E91" s="206">
        <f>SUM(E86:E90)</f>
        <v>12906477.02</v>
      </c>
      <c r="F91" s="143">
        <f>(+D91-E91)/E91</f>
        <v>0.12932469003071148</v>
      </c>
      <c r="G91" s="217">
        <f>D91/C91</f>
        <v>0.21793131588570416</v>
      </c>
      <c r="H91" s="123"/>
    </row>
    <row r="92" spans="1:8" ht="15.75" customHeight="1" thickTop="1">
      <c r="A92" s="130"/>
      <c r="B92" s="134"/>
      <c r="C92" s="204"/>
      <c r="D92" s="204"/>
      <c r="E92" s="204"/>
      <c r="F92" s="132"/>
      <c r="G92" s="218"/>
      <c r="H92" s="123"/>
    </row>
    <row r="93" spans="1:8" ht="15.75">
      <c r="A93" s="130" t="s">
        <v>64</v>
      </c>
      <c r="B93" s="131">
        <f>DATE(2018,7,1)</f>
        <v>43282</v>
      </c>
      <c r="C93" s="204">
        <v>835189</v>
      </c>
      <c r="D93" s="204">
        <v>171143.5</v>
      </c>
      <c r="E93" s="204">
        <v>283672</v>
      </c>
      <c r="F93" s="132">
        <f>(+D93-E93)/E93</f>
        <v>-0.3966852562113991</v>
      </c>
      <c r="G93" s="215">
        <f>D93/C93</f>
        <v>0.20491589328882445</v>
      </c>
      <c r="H93" s="123"/>
    </row>
    <row r="94" spans="1:8" ht="15.75">
      <c r="A94" s="130"/>
      <c r="B94" s="131">
        <f>DATE(2018,8,1)</f>
        <v>43313</v>
      </c>
      <c r="C94" s="204">
        <v>795370</v>
      </c>
      <c r="D94" s="204">
        <v>217353.5</v>
      </c>
      <c r="E94" s="204">
        <v>213515</v>
      </c>
      <c r="F94" s="132">
        <f>(+D94-E94)/E94</f>
        <v>0.017977659649204975</v>
      </c>
      <c r="G94" s="215">
        <f>D94/C94</f>
        <v>0.27327344506330387</v>
      </c>
      <c r="H94" s="123"/>
    </row>
    <row r="95" spans="1:8" ht="15.75">
      <c r="A95" s="130"/>
      <c r="B95" s="131">
        <f>DATE(2018,9,1)</f>
        <v>43344</v>
      </c>
      <c r="C95" s="204">
        <v>769718</v>
      </c>
      <c r="D95" s="204">
        <v>169120</v>
      </c>
      <c r="E95" s="204">
        <v>213772.5</v>
      </c>
      <c r="F95" s="132">
        <f>(+D95-E95)/E95</f>
        <v>-0.20887859757452432</v>
      </c>
      <c r="G95" s="215">
        <f>D95/C95</f>
        <v>0.2197168313590172</v>
      </c>
      <c r="H95" s="123"/>
    </row>
    <row r="96" spans="1:8" ht="15.75">
      <c r="A96" s="130"/>
      <c r="B96" s="131">
        <f>DATE(2018,10,1)</f>
        <v>43374</v>
      </c>
      <c r="C96" s="204">
        <v>707919</v>
      </c>
      <c r="D96" s="204">
        <v>142313.5</v>
      </c>
      <c r="E96" s="204">
        <v>244828.5</v>
      </c>
      <c r="F96" s="132">
        <f>(+D96-E96)/E96</f>
        <v>-0.41872167660219295</v>
      </c>
      <c r="G96" s="215">
        <f>D96/C96</f>
        <v>0.2010307676443209</v>
      </c>
      <c r="H96" s="123"/>
    </row>
    <row r="97" spans="1:8" ht="15.75" thickBot="1">
      <c r="A97" s="133"/>
      <c r="B97" s="134"/>
      <c r="C97" s="204"/>
      <c r="D97" s="204"/>
      <c r="E97" s="204"/>
      <c r="F97" s="132"/>
      <c r="G97" s="215"/>
      <c r="H97" s="123"/>
    </row>
    <row r="98" spans="1:8" ht="17.25" thickBot="1" thickTop="1">
      <c r="A98" s="135" t="s">
        <v>14</v>
      </c>
      <c r="B98" s="136"/>
      <c r="C98" s="201">
        <f>SUM(C93:C97)</f>
        <v>3108196</v>
      </c>
      <c r="D98" s="207">
        <f>SUM(D93:D97)</f>
        <v>699930.5</v>
      </c>
      <c r="E98" s="207">
        <f>SUM(E93:E97)</f>
        <v>955788</v>
      </c>
      <c r="F98" s="143">
        <f>(+D98-E98)/E98</f>
        <v>-0.2676927310240346</v>
      </c>
      <c r="G98" s="217">
        <f>D98/C98</f>
        <v>0.22518866249103983</v>
      </c>
      <c r="H98" s="123"/>
    </row>
    <row r="99" spans="1:8" ht="16.5" thickBot="1" thickTop="1">
      <c r="A99" s="146"/>
      <c r="B99" s="139"/>
      <c r="C99" s="205"/>
      <c r="D99" s="205"/>
      <c r="E99" s="205"/>
      <c r="F99" s="140"/>
      <c r="G99" s="216"/>
      <c r="H99" s="123"/>
    </row>
    <row r="100" spans="1:8" ht="17.25" thickBot="1" thickTop="1">
      <c r="A100" s="147" t="s">
        <v>41</v>
      </c>
      <c r="B100" s="121"/>
      <c r="C100" s="201">
        <f>C98+C91+C70+C56+C42+C28+C14+C35+C84+C21+C63+C77+C49</f>
        <v>417241894.6</v>
      </c>
      <c r="D100" s="201">
        <f>D98+D91+D70+D56+D42+D28+D14+D35+D84+D21+D63+D77+D49</f>
        <v>84482633.69</v>
      </c>
      <c r="E100" s="201">
        <f>E98+E91+E70+E56+E42+E28+E14+E35+E84+E21+E63+E77+E49</f>
        <v>82780962.62</v>
      </c>
      <c r="F100" s="137">
        <f>(+D100-E100)/E100</f>
        <v>0.020556309278636806</v>
      </c>
      <c r="G100" s="212">
        <f>D100/C100</f>
        <v>0.20247878936268254</v>
      </c>
      <c r="H100" s="123"/>
    </row>
    <row r="101" spans="1:8" ht="17.25" thickBot="1" thickTop="1">
      <c r="A101" s="147"/>
      <c r="B101" s="121"/>
      <c r="C101" s="201"/>
      <c r="D101" s="201"/>
      <c r="E101" s="201"/>
      <c r="F101" s="137"/>
      <c r="G101" s="212"/>
      <c r="H101" s="123"/>
    </row>
    <row r="102" spans="1:8" ht="17.25" thickBot="1" thickTop="1">
      <c r="A102" s="265" t="s">
        <v>42</v>
      </c>
      <c r="B102" s="266"/>
      <c r="C102" s="206">
        <f>+C12+C19+C26+C33+C40+C47+C54+C61+C68+C75+C82+C89+C96</f>
        <v>100903538</v>
      </c>
      <c r="D102" s="206">
        <f>+D12+D19+D26+D33+D40+D47+D54+D61+D68+D75+D82+D89+D96</f>
        <v>19309767.79</v>
      </c>
      <c r="E102" s="206">
        <f>+E12+E19+E26+E33+E40+E47+E54+E61+E68+E75+E82+E89+E96</f>
        <v>18957671.11</v>
      </c>
      <c r="F102" s="143">
        <f>(+D102-E102)/E102</f>
        <v>0.01857278132725237</v>
      </c>
      <c r="G102" s="217">
        <f>D102/C102</f>
        <v>0.19136858996956083</v>
      </c>
      <c r="H102" s="123"/>
    </row>
    <row r="103" spans="1:8" ht="16.5" thickTop="1">
      <c r="A103" s="256"/>
      <c r="B103" s="258"/>
      <c r="C103" s="259"/>
      <c r="D103" s="259"/>
      <c r="E103" s="259"/>
      <c r="F103" s="260"/>
      <c r="G103" s="257"/>
      <c r="H103" s="257"/>
    </row>
    <row r="104" spans="1:7" ht="18.75">
      <c r="A104" s="263" t="s">
        <v>43</v>
      </c>
      <c r="B104" s="117"/>
      <c r="C104" s="208"/>
      <c r="D104" s="208"/>
      <c r="E104" s="208"/>
      <c r="F104" s="148"/>
      <c r="G104" s="220"/>
    </row>
    <row r="105" ht="15.75">
      <c r="A105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DATE(18,7,1)</f>
        <v>6757</v>
      </c>
      <c r="C10" s="226">
        <v>116623713.71</v>
      </c>
      <c r="D10" s="226">
        <v>11548721.09</v>
      </c>
      <c r="E10" s="226">
        <v>12399454.65</v>
      </c>
      <c r="F10" s="166">
        <f>(+D10-E10)/E10</f>
        <v>-0.06861056264276917</v>
      </c>
      <c r="G10" s="241">
        <f>D10/C10</f>
        <v>0.0990254959528848</v>
      </c>
      <c r="H10" s="242">
        <f>1-G10</f>
        <v>0.9009745040471152</v>
      </c>
      <c r="I10" s="157"/>
    </row>
    <row r="11" spans="1:9" ht="15.75">
      <c r="A11" s="164"/>
      <c r="B11" s="165">
        <f>DATE(18,8,1)</f>
        <v>6788</v>
      </c>
      <c r="C11" s="226">
        <v>117765018.3</v>
      </c>
      <c r="D11" s="226">
        <v>12278666.34</v>
      </c>
      <c r="E11" s="226">
        <v>11441719.54</v>
      </c>
      <c r="F11" s="166">
        <f>(+D11-E11)/E11</f>
        <v>0.07314869037595732</v>
      </c>
      <c r="G11" s="241">
        <f>D11/C11</f>
        <v>0.10426412288851994</v>
      </c>
      <c r="H11" s="242">
        <f>1-G11</f>
        <v>0.8957358771114801</v>
      </c>
      <c r="I11" s="157"/>
    </row>
    <row r="12" spans="1:9" ht="15.75">
      <c r="A12" s="164"/>
      <c r="B12" s="165">
        <f>DATE(18,9,1)</f>
        <v>6819</v>
      </c>
      <c r="C12" s="226">
        <v>114244738.3</v>
      </c>
      <c r="D12" s="226">
        <v>11479851.3</v>
      </c>
      <c r="E12" s="226">
        <v>11813160.59</v>
      </c>
      <c r="F12" s="166">
        <f>(+D12-E12)/E12</f>
        <v>-0.028215081599936086</v>
      </c>
      <c r="G12" s="241">
        <f>D12/C12</f>
        <v>0.10048472665633477</v>
      </c>
      <c r="H12" s="242">
        <f>1-G12</f>
        <v>0.8995152733436652</v>
      </c>
      <c r="I12" s="157"/>
    </row>
    <row r="13" spans="1:9" ht="15.75">
      <c r="A13" s="164"/>
      <c r="B13" s="165">
        <f>DATE(18,10,1)</f>
        <v>6849</v>
      </c>
      <c r="C13" s="226">
        <v>118499471.82</v>
      </c>
      <c r="D13" s="226">
        <v>11766741.38</v>
      </c>
      <c r="E13" s="226">
        <v>11558139.69</v>
      </c>
      <c r="F13" s="166">
        <f>(+D13-E13)/E13</f>
        <v>0.018048033299033553</v>
      </c>
      <c r="G13" s="241">
        <f>D13/C13</f>
        <v>0.09929783820364713</v>
      </c>
      <c r="H13" s="242">
        <f>1-G13</f>
        <v>0.9007021617963529</v>
      </c>
      <c r="I13" s="157"/>
    </row>
    <row r="14" spans="1:9" ht="15.75" thickBot="1">
      <c r="A14" s="167"/>
      <c r="B14" s="168"/>
      <c r="C14" s="226"/>
      <c r="D14" s="226"/>
      <c r="E14" s="226"/>
      <c r="F14" s="166"/>
      <c r="G14" s="241"/>
      <c r="H14" s="242"/>
      <c r="I14" s="157"/>
    </row>
    <row r="15" spans="1:9" ht="17.25" thickBot="1" thickTop="1">
      <c r="A15" s="169" t="s">
        <v>14</v>
      </c>
      <c r="B15" s="155"/>
      <c r="C15" s="223">
        <f>SUM(C10:C14)</f>
        <v>467132942.13</v>
      </c>
      <c r="D15" s="223">
        <f>SUM(D10:D14)</f>
        <v>47073980.11000001</v>
      </c>
      <c r="E15" s="223">
        <f>SUM(E10:E14)</f>
        <v>47212474.47</v>
      </c>
      <c r="F15" s="170">
        <f>(+D15-E15)/E15</f>
        <v>-0.0029334272679987314</v>
      </c>
      <c r="G15" s="236">
        <f>D15/C15</f>
        <v>0.10077212687111163</v>
      </c>
      <c r="H15" s="237">
        <f>1-G15</f>
        <v>0.8992278731288884</v>
      </c>
      <c r="I15" s="157"/>
    </row>
    <row r="16" spans="1:9" ht="15.75" thickTop="1">
      <c r="A16" s="171"/>
      <c r="B16" s="172"/>
      <c r="C16" s="227"/>
      <c r="D16" s="227"/>
      <c r="E16" s="227"/>
      <c r="F16" s="173"/>
      <c r="G16" s="243"/>
      <c r="H16" s="244"/>
      <c r="I16" s="157"/>
    </row>
    <row r="17" spans="1:9" ht="15.75">
      <c r="A17" s="19" t="s">
        <v>51</v>
      </c>
      <c r="B17" s="165">
        <f>DATE(18,7,1)</f>
        <v>6757</v>
      </c>
      <c r="C17" s="226">
        <v>65541726.2</v>
      </c>
      <c r="D17" s="226">
        <v>6830347.76</v>
      </c>
      <c r="E17" s="226">
        <v>6811001.46</v>
      </c>
      <c r="F17" s="166">
        <f>(+D17-E17)/E17</f>
        <v>0.0028404486643583563</v>
      </c>
      <c r="G17" s="241">
        <f>D17/C17</f>
        <v>0.10421373003141927</v>
      </c>
      <c r="H17" s="242">
        <f>1-G17</f>
        <v>0.8957862699685807</v>
      </c>
      <c r="I17" s="157"/>
    </row>
    <row r="18" spans="1:9" ht="15.75">
      <c r="A18" s="19"/>
      <c r="B18" s="165">
        <f>DATE(18,8,1)</f>
        <v>6788</v>
      </c>
      <c r="C18" s="226">
        <v>63796111.6</v>
      </c>
      <c r="D18" s="226">
        <v>6442436.26</v>
      </c>
      <c r="E18" s="226">
        <v>6396602.31</v>
      </c>
      <c r="F18" s="166">
        <f>(+D18-E18)/E18</f>
        <v>0.00716535869806172</v>
      </c>
      <c r="G18" s="241">
        <f>D18/C18</f>
        <v>0.100984779454803</v>
      </c>
      <c r="H18" s="242">
        <f>1-G18</f>
        <v>0.899015220545197</v>
      </c>
      <c r="I18" s="157"/>
    </row>
    <row r="19" spans="1:9" ht="15.75">
      <c r="A19" s="19"/>
      <c r="B19" s="165">
        <f>DATE(18,9,1)</f>
        <v>6819</v>
      </c>
      <c r="C19" s="226">
        <v>63301750.79</v>
      </c>
      <c r="D19" s="226">
        <v>6263459.58</v>
      </c>
      <c r="E19" s="226">
        <v>6148408.09</v>
      </c>
      <c r="F19" s="166">
        <f>(+D19-E19)/E19</f>
        <v>0.01871240300186389</v>
      </c>
      <c r="G19" s="241">
        <f>D19/C19</f>
        <v>0.09894607182001451</v>
      </c>
      <c r="H19" s="242">
        <f>1-G19</f>
        <v>0.9010539281799855</v>
      </c>
      <c r="I19" s="157"/>
    </row>
    <row r="20" spans="1:9" ht="15.75">
      <c r="A20" s="19"/>
      <c r="B20" s="165">
        <f>DATE(18,10,1)</f>
        <v>6849</v>
      </c>
      <c r="C20" s="226">
        <v>57076488.58</v>
      </c>
      <c r="D20" s="226">
        <v>5583864.37</v>
      </c>
      <c r="E20" s="226">
        <v>5734526.36</v>
      </c>
      <c r="F20" s="166">
        <f>(+D20-E20)/E20</f>
        <v>-0.026272787069375372</v>
      </c>
      <c r="G20" s="241">
        <f>D20/C20</f>
        <v>0.09783125256862114</v>
      </c>
      <c r="H20" s="242">
        <f>1-G20</f>
        <v>0.9021687474313789</v>
      </c>
      <c r="I20" s="157"/>
    </row>
    <row r="21" spans="1:9" ht="15.75" thickBot="1">
      <c r="A21" s="167"/>
      <c r="B21" s="165"/>
      <c r="C21" s="226"/>
      <c r="D21" s="226"/>
      <c r="E21" s="226"/>
      <c r="F21" s="166"/>
      <c r="G21" s="241"/>
      <c r="H21" s="242"/>
      <c r="I21" s="157"/>
    </row>
    <row r="22" spans="1:9" ht="17.25" thickBot="1" thickTop="1">
      <c r="A22" s="169" t="s">
        <v>14</v>
      </c>
      <c r="B22" s="155"/>
      <c r="C22" s="223">
        <f>SUM(C17:C21)</f>
        <v>249716077.17000002</v>
      </c>
      <c r="D22" s="223">
        <f>SUM(D17:D21)</f>
        <v>25120107.970000003</v>
      </c>
      <c r="E22" s="223">
        <f>SUM(E17:E21)</f>
        <v>25090538.22</v>
      </c>
      <c r="F22" s="170">
        <f>(+D22-E22)/E22</f>
        <v>0.0011785219488210615</v>
      </c>
      <c r="G22" s="236">
        <f>D22/C22</f>
        <v>0.1005946763808039</v>
      </c>
      <c r="H22" s="237">
        <f>1-G22</f>
        <v>0.8994053236191961</v>
      </c>
      <c r="I22" s="157"/>
    </row>
    <row r="23" spans="1:9" ht="15.75" thickTop="1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>
      <c r="A24" s="19" t="s">
        <v>60</v>
      </c>
      <c r="B24" s="165">
        <f>DATE(18,7,1)</f>
        <v>6757</v>
      </c>
      <c r="C24" s="226">
        <v>27451989.68</v>
      </c>
      <c r="D24" s="226">
        <v>2891699.85</v>
      </c>
      <c r="E24" s="226">
        <v>2951015.74</v>
      </c>
      <c r="F24" s="166">
        <f>(+D24-E24)/E24</f>
        <v>-0.020100160495924745</v>
      </c>
      <c r="G24" s="241">
        <f>D24/C24</f>
        <v>0.10533662163317556</v>
      </c>
      <c r="H24" s="242">
        <f>1-G24</f>
        <v>0.8946633783668244</v>
      </c>
      <c r="I24" s="157"/>
    </row>
    <row r="25" spans="1:9" ht="15.75">
      <c r="A25" s="19"/>
      <c r="B25" s="165">
        <f>DATE(18,8,1)</f>
        <v>6788</v>
      </c>
      <c r="C25" s="226">
        <v>25957318.24</v>
      </c>
      <c r="D25" s="226">
        <v>2785511.76</v>
      </c>
      <c r="E25" s="226">
        <v>2587760.59</v>
      </c>
      <c r="F25" s="166">
        <f>(+D25-E25)/E25</f>
        <v>0.07641787681757684</v>
      </c>
      <c r="G25" s="241">
        <f>D25/C25</f>
        <v>0.10731123046862179</v>
      </c>
      <c r="H25" s="242">
        <f>1-G25</f>
        <v>0.8926887695313782</v>
      </c>
      <c r="I25" s="157"/>
    </row>
    <row r="26" spans="1:9" ht="15.75">
      <c r="A26" s="19"/>
      <c r="B26" s="165">
        <f>DATE(18,9,1)</f>
        <v>6819</v>
      </c>
      <c r="C26" s="226">
        <v>26244468.76</v>
      </c>
      <c r="D26" s="226">
        <v>2777720.64</v>
      </c>
      <c r="E26" s="226">
        <v>2789987.56</v>
      </c>
      <c r="F26" s="166">
        <f>(+D26-E26)/E26</f>
        <v>-0.004396765123927623</v>
      </c>
      <c r="G26" s="241">
        <f>D26/C26</f>
        <v>0.10584023115124393</v>
      </c>
      <c r="H26" s="242">
        <f>1-G26</f>
        <v>0.894159768848756</v>
      </c>
      <c r="I26" s="157"/>
    </row>
    <row r="27" spans="1:9" ht="15.75">
      <c r="A27" s="19"/>
      <c r="B27" s="165">
        <f>DATE(18,10,1)</f>
        <v>6849</v>
      </c>
      <c r="C27" s="226">
        <v>24694763.75</v>
      </c>
      <c r="D27" s="226">
        <v>2633608.28</v>
      </c>
      <c r="E27" s="226">
        <v>2567921.26</v>
      </c>
      <c r="F27" s="166">
        <f>(+D27-E27)/E27</f>
        <v>0.025579841961353607</v>
      </c>
      <c r="G27" s="241">
        <f>D27/C27</f>
        <v>0.10664642539858271</v>
      </c>
      <c r="H27" s="242">
        <f>1-G27</f>
        <v>0.8933535746014173</v>
      </c>
      <c r="I27" s="157"/>
    </row>
    <row r="28" spans="1:9" ht="15.75" thickBot="1">
      <c r="A28" s="167"/>
      <c r="B28" s="165"/>
      <c r="C28" s="226"/>
      <c r="D28" s="226"/>
      <c r="E28" s="226"/>
      <c r="F28" s="166"/>
      <c r="G28" s="241"/>
      <c r="H28" s="242"/>
      <c r="I28" s="157"/>
    </row>
    <row r="29" spans="1:9" ht="17.25" thickBot="1" thickTop="1">
      <c r="A29" s="174" t="s">
        <v>14</v>
      </c>
      <c r="B29" s="175"/>
      <c r="C29" s="228">
        <f>SUM(C24:C28)</f>
        <v>104348540.43</v>
      </c>
      <c r="D29" s="228">
        <f>SUM(D24:D28)</f>
        <v>11088540.53</v>
      </c>
      <c r="E29" s="228">
        <f>SUM(E24:E28)</f>
        <v>10896685.15</v>
      </c>
      <c r="F29" s="176">
        <f>(+D29-E29)/E29</f>
        <v>0.01760676548500614</v>
      </c>
      <c r="G29" s="245">
        <f>D29/C29</f>
        <v>0.10626445261530525</v>
      </c>
      <c r="H29" s="246">
        <f>1-G29</f>
        <v>0.8937355473846947</v>
      </c>
      <c r="I29" s="157"/>
    </row>
    <row r="30" spans="1:9" ht="15.75" thickTop="1">
      <c r="A30" s="167"/>
      <c r="B30" s="168"/>
      <c r="C30" s="226"/>
      <c r="D30" s="226"/>
      <c r="E30" s="226"/>
      <c r="F30" s="166"/>
      <c r="G30" s="241"/>
      <c r="H30" s="242"/>
      <c r="I30" s="157"/>
    </row>
    <row r="31" spans="1:9" ht="15.75">
      <c r="A31" s="177" t="s">
        <v>65</v>
      </c>
      <c r="B31" s="165">
        <f>DATE(18,7,1)</f>
        <v>6757</v>
      </c>
      <c r="C31" s="226">
        <v>184818671</v>
      </c>
      <c r="D31" s="226">
        <v>17539246.18</v>
      </c>
      <c r="E31" s="226">
        <v>17796071.33</v>
      </c>
      <c r="F31" s="166">
        <f>(+D31-E31)/E31</f>
        <v>-0.014431564430012797</v>
      </c>
      <c r="G31" s="241">
        <f>D31/C31</f>
        <v>0.0948997527419727</v>
      </c>
      <c r="H31" s="242">
        <f>1-G31</f>
        <v>0.9051002472580273</v>
      </c>
      <c r="I31" s="157"/>
    </row>
    <row r="32" spans="1:9" ht="15.75">
      <c r="A32" s="177"/>
      <c r="B32" s="165">
        <f>DATE(18,8,1)</f>
        <v>6788</v>
      </c>
      <c r="C32" s="226">
        <v>185402170.61</v>
      </c>
      <c r="D32" s="226">
        <v>17390823.88</v>
      </c>
      <c r="E32" s="226">
        <v>17013833.45</v>
      </c>
      <c r="F32" s="166">
        <f>(+D32-E32)/E32</f>
        <v>0.02215787706561802</v>
      </c>
      <c r="G32" s="241">
        <f>D32/C32</f>
        <v>0.09380054086088457</v>
      </c>
      <c r="H32" s="242">
        <f>1-G32</f>
        <v>0.9061994591391154</v>
      </c>
      <c r="I32" s="157"/>
    </row>
    <row r="33" spans="1:9" ht="15.75">
      <c r="A33" s="177"/>
      <c r="B33" s="165">
        <f>DATE(18,9,1)</f>
        <v>6819</v>
      </c>
      <c r="C33" s="226">
        <v>169616120.73</v>
      </c>
      <c r="D33" s="226">
        <v>16350217.75</v>
      </c>
      <c r="E33" s="226">
        <v>16916276.07</v>
      </c>
      <c r="F33" s="166">
        <f>(+D33-E33)/E33</f>
        <v>-0.03346234819398997</v>
      </c>
      <c r="G33" s="241">
        <f>D33/C33</f>
        <v>0.09639542326302089</v>
      </c>
      <c r="H33" s="242">
        <f>1-G33</f>
        <v>0.9036045767369791</v>
      </c>
      <c r="I33" s="157"/>
    </row>
    <row r="34" spans="1:9" ht="15.75">
      <c r="A34" s="177"/>
      <c r="B34" s="165">
        <f>DATE(18,10,1)</f>
        <v>6849</v>
      </c>
      <c r="C34" s="226">
        <v>166482334.12</v>
      </c>
      <c r="D34" s="226">
        <v>15575678.63</v>
      </c>
      <c r="E34" s="226">
        <v>15553875.56</v>
      </c>
      <c r="F34" s="166">
        <f>(+D34-E34)/E34</f>
        <v>0.001401777320121513</v>
      </c>
      <c r="G34" s="241">
        <f>D34/C34</f>
        <v>0.09355754598426698</v>
      </c>
      <c r="H34" s="242">
        <f>1-G34</f>
        <v>0.906442454015733</v>
      </c>
      <c r="I34" s="157"/>
    </row>
    <row r="35" spans="1:9" ht="15.75" thickBot="1">
      <c r="A35" s="167"/>
      <c r="B35" s="168"/>
      <c r="C35" s="226"/>
      <c r="D35" s="226"/>
      <c r="E35" s="226"/>
      <c r="F35" s="166"/>
      <c r="G35" s="241"/>
      <c r="H35" s="242"/>
      <c r="I35" s="157"/>
    </row>
    <row r="36" spans="1:9" ht="17.25" thickBot="1" thickTop="1">
      <c r="A36" s="174" t="s">
        <v>14</v>
      </c>
      <c r="B36" s="178"/>
      <c r="C36" s="228">
        <f>SUM(C31:C35)</f>
        <v>706319296.46</v>
      </c>
      <c r="D36" s="228">
        <f>SUM(D31:D35)</f>
        <v>66855966.440000005</v>
      </c>
      <c r="E36" s="228">
        <f>SUM(E31:E35)</f>
        <v>67280056.41</v>
      </c>
      <c r="F36" s="176">
        <f>(+D36-E36)/E36</f>
        <v>-0.006303353365455232</v>
      </c>
      <c r="G36" s="245">
        <f>D36/C36</f>
        <v>0.09465402796592881</v>
      </c>
      <c r="H36" s="246">
        <f>1-G36</f>
        <v>0.9053459720340712</v>
      </c>
      <c r="I36" s="157"/>
    </row>
    <row r="37" spans="1:9" ht="15.75" thickTop="1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>
      <c r="A38" s="164" t="s">
        <v>16</v>
      </c>
      <c r="B38" s="165">
        <f>DATE(18,7,1)</f>
        <v>6757</v>
      </c>
      <c r="C38" s="226">
        <v>111478358.27</v>
      </c>
      <c r="D38" s="226">
        <v>11381105.73</v>
      </c>
      <c r="E38" s="226">
        <v>12386204.68</v>
      </c>
      <c r="F38" s="166">
        <f>(+D38-E38)/E38</f>
        <v>-0.08114664467178814</v>
      </c>
      <c r="G38" s="241">
        <f>D38/C38</f>
        <v>0.10209251290223545</v>
      </c>
      <c r="H38" s="242">
        <f>1-G38</f>
        <v>0.8979074870977646</v>
      </c>
      <c r="I38" s="157"/>
    </row>
    <row r="39" spans="1:9" ht="15.75">
      <c r="A39" s="164"/>
      <c r="B39" s="165">
        <f>DATE(18,8,1)</f>
        <v>6788</v>
      </c>
      <c r="C39" s="226">
        <v>118354764.09</v>
      </c>
      <c r="D39" s="226">
        <v>11018606.25</v>
      </c>
      <c r="E39" s="226">
        <v>11735802.96</v>
      </c>
      <c r="F39" s="166">
        <f>(+D39-E39)/E39</f>
        <v>-0.0611118568064303</v>
      </c>
      <c r="G39" s="241">
        <f>D39/C39</f>
        <v>0.09309812186031792</v>
      </c>
      <c r="H39" s="242">
        <f>1-G39</f>
        <v>0.906901878139682</v>
      </c>
      <c r="I39" s="157"/>
    </row>
    <row r="40" spans="1:9" ht="15.75">
      <c r="A40" s="164"/>
      <c r="B40" s="165">
        <f>DATE(18,9,1)</f>
        <v>6819</v>
      </c>
      <c r="C40" s="226">
        <v>117946300.34</v>
      </c>
      <c r="D40" s="226">
        <v>11865007.26</v>
      </c>
      <c r="E40" s="226">
        <v>11892155.97</v>
      </c>
      <c r="F40" s="166">
        <f>(+D40-E40)/E40</f>
        <v>-0.002282909008970969</v>
      </c>
      <c r="G40" s="241">
        <f>D40/C40</f>
        <v>0.10059668871170291</v>
      </c>
      <c r="H40" s="242">
        <f>1-G40</f>
        <v>0.8994033112882971</v>
      </c>
      <c r="I40" s="157"/>
    </row>
    <row r="41" spans="1:9" ht="15.75">
      <c r="A41" s="164"/>
      <c r="B41" s="165">
        <f>DATE(18,10,1)</f>
        <v>6849</v>
      </c>
      <c r="C41" s="226">
        <v>111145625.37</v>
      </c>
      <c r="D41" s="226">
        <v>11049162.11</v>
      </c>
      <c r="E41" s="226">
        <v>11365393.67</v>
      </c>
      <c r="F41" s="166">
        <f>(+D41-E41)/E41</f>
        <v>-0.02782407448276277</v>
      </c>
      <c r="G41" s="241">
        <f>D41/C41</f>
        <v>0.09941157893725205</v>
      </c>
      <c r="H41" s="242">
        <f>1-G41</f>
        <v>0.900588421062748</v>
      </c>
      <c r="I41" s="157"/>
    </row>
    <row r="42" spans="1:9" ht="15.75" thickBot="1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Bot="1" thickTop="1">
      <c r="A43" s="174" t="s">
        <v>14</v>
      </c>
      <c r="B43" s="175"/>
      <c r="C43" s="228">
        <f>SUM(C38:C42)</f>
        <v>458925048.07000005</v>
      </c>
      <c r="D43" s="230">
        <f>SUM(D38:D42)</f>
        <v>45313881.35</v>
      </c>
      <c r="E43" s="271">
        <f>SUM(E38:E42)</f>
        <v>47379557.28</v>
      </c>
      <c r="F43" s="272">
        <f>(+D43-E43)/E43</f>
        <v>-0.0435984641602375</v>
      </c>
      <c r="G43" s="249">
        <f>D43/C43</f>
        <v>0.09873917656176451</v>
      </c>
      <c r="H43" s="270">
        <f>1-G43</f>
        <v>0.9012608234382355</v>
      </c>
      <c r="I43" s="157"/>
    </row>
    <row r="44" spans="1:9" ht="15.75" thickTop="1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>
      <c r="A45" s="164" t="s">
        <v>66</v>
      </c>
      <c r="B45" s="165">
        <f>DATE(18,7,1)</f>
        <v>6757</v>
      </c>
      <c r="C45" s="226">
        <v>43839500.54</v>
      </c>
      <c r="D45" s="226">
        <v>4536017.05</v>
      </c>
      <c r="E45" s="226">
        <v>4991725.48</v>
      </c>
      <c r="F45" s="166">
        <f>(+D45-E45)/E45</f>
        <v>-0.0912927667648904</v>
      </c>
      <c r="G45" s="241">
        <f>D45/C45</f>
        <v>0.10346872099651891</v>
      </c>
      <c r="H45" s="242">
        <f>1-G45</f>
        <v>0.8965312790034811</v>
      </c>
      <c r="I45" s="157"/>
    </row>
    <row r="46" spans="1:9" ht="15.75">
      <c r="A46" s="164"/>
      <c r="B46" s="165">
        <f>DATE(18,8,1)</f>
        <v>6788</v>
      </c>
      <c r="C46" s="226">
        <v>43029880.97</v>
      </c>
      <c r="D46" s="226">
        <v>4611969.17</v>
      </c>
      <c r="E46" s="226">
        <v>4592418.47</v>
      </c>
      <c r="F46" s="166">
        <f>(+D46-E46)/E46</f>
        <v>0.004257168663464632</v>
      </c>
      <c r="G46" s="241">
        <f>D46/C46</f>
        <v>0.1071806164933484</v>
      </c>
      <c r="H46" s="242">
        <f>1-G46</f>
        <v>0.8928193835066516</v>
      </c>
      <c r="I46" s="157"/>
    </row>
    <row r="47" spans="1:9" ht="15.75">
      <c r="A47" s="164"/>
      <c r="B47" s="165">
        <f>DATE(18,9,1)</f>
        <v>6819</v>
      </c>
      <c r="C47" s="226">
        <v>42955268.14</v>
      </c>
      <c r="D47" s="226">
        <v>4472303.22</v>
      </c>
      <c r="E47" s="226">
        <v>5151289.25</v>
      </c>
      <c r="F47" s="166">
        <f>(+D47-E47)/E47</f>
        <v>-0.13180895054572994</v>
      </c>
      <c r="G47" s="241">
        <f>D47/C47</f>
        <v>0.104115360319108</v>
      </c>
      <c r="H47" s="242">
        <f>1-G47</f>
        <v>0.895884639680892</v>
      </c>
      <c r="I47" s="157"/>
    </row>
    <row r="48" spans="1:9" ht="15.75">
      <c r="A48" s="164"/>
      <c r="B48" s="165">
        <f>DATE(18,10,1)</f>
        <v>6849</v>
      </c>
      <c r="C48" s="226">
        <v>40582774.37</v>
      </c>
      <c r="D48" s="226">
        <v>4257625.94</v>
      </c>
      <c r="E48" s="226">
        <v>4567525</v>
      </c>
      <c r="F48" s="166">
        <f>(+D48-E48)/E48</f>
        <v>-0.06784835550982198</v>
      </c>
      <c r="G48" s="241">
        <f>D48/C48</f>
        <v>0.10491214575875239</v>
      </c>
      <c r="H48" s="242">
        <f>1-G48</f>
        <v>0.8950878542412476</v>
      </c>
      <c r="I48" s="157"/>
    </row>
    <row r="49" spans="1:9" ht="15.7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Bot="1" thickTop="1">
      <c r="A50" s="174" t="s">
        <v>14</v>
      </c>
      <c r="B50" s="175"/>
      <c r="C50" s="228">
        <f>SUM(C45:C49)</f>
        <v>170407424.01999998</v>
      </c>
      <c r="D50" s="230">
        <f>SUM(D45:D49)</f>
        <v>17877915.38</v>
      </c>
      <c r="E50" s="271">
        <f>SUM(E45:E49)</f>
        <v>19302958.2</v>
      </c>
      <c r="F50" s="272">
        <f>(+D50-E50)/E50</f>
        <v>-0.0738251000305228</v>
      </c>
      <c r="G50" s="249">
        <f>D50/C50</f>
        <v>0.10491277291945769</v>
      </c>
      <c r="H50" s="270">
        <f>1-G50</f>
        <v>0.8950872270805423</v>
      </c>
      <c r="I50" s="157"/>
    </row>
    <row r="51" spans="1:9" ht="15.7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>
      <c r="A52" s="164" t="s">
        <v>17</v>
      </c>
      <c r="B52" s="165">
        <f>DATE(18,7,1)</f>
        <v>6757</v>
      </c>
      <c r="C52" s="226">
        <v>49505917.04</v>
      </c>
      <c r="D52" s="226">
        <v>5381167.31</v>
      </c>
      <c r="E52" s="226">
        <v>5822170.92</v>
      </c>
      <c r="F52" s="166">
        <f>(+D52-E52)/E52</f>
        <v>-0.07574556227559193</v>
      </c>
      <c r="G52" s="241">
        <f>D52/C52</f>
        <v>0.10869745743023206</v>
      </c>
      <c r="H52" s="242">
        <f>1-G52</f>
        <v>0.8913025425697679</v>
      </c>
      <c r="I52" s="157"/>
    </row>
    <row r="53" spans="1:9" ht="15.75">
      <c r="A53" s="164"/>
      <c r="B53" s="165">
        <f>DATE(18,8,1)</f>
        <v>6788</v>
      </c>
      <c r="C53" s="226">
        <v>49219766.57</v>
      </c>
      <c r="D53" s="226">
        <v>5291596.82</v>
      </c>
      <c r="E53" s="226">
        <v>5584923.33</v>
      </c>
      <c r="F53" s="166">
        <f>(+D53-E53)/E53</f>
        <v>-0.05252113460973864</v>
      </c>
      <c r="G53" s="241">
        <f>D53/C53</f>
        <v>0.10750958789035152</v>
      </c>
      <c r="H53" s="242">
        <f>1-G53</f>
        <v>0.8924904121096485</v>
      </c>
      <c r="I53" s="157"/>
    </row>
    <row r="54" spans="1:9" ht="15.75">
      <c r="A54" s="164"/>
      <c r="B54" s="165">
        <f>DATE(18,9,1)</f>
        <v>6819</v>
      </c>
      <c r="C54" s="226">
        <v>46813151.35</v>
      </c>
      <c r="D54" s="226">
        <v>5027629.3</v>
      </c>
      <c r="E54" s="226">
        <v>5571414.24</v>
      </c>
      <c r="F54" s="166">
        <f>(+D54-E54)/E54</f>
        <v>-0.09760267619231995</v>
      </c>
      <c r="G54" s="241">
        <f>D54/C54</f>
        <v>0.10739779645276967</v>
      </c>
      <c r="H54" s="242">
        <f>1-G54</f>
        <v>0.8926022035472303</v>
      </c>
      <c r="I54" s="157"/>
    </row>
    <row r="55" spans="1:9" ht="15.75">
      <c r="A55" s="164"/>
      <c r="B55" s="165">
        <f>DATE(18,10,1)</f>
        <v>6849</v>
      </c>
      <c r="C55" s="226">
        <v>46725704.26</v>
      </c>
      <c r="D55" s="226">
        <v>5016135.3</v>
      </c>
      <c r="E55" s="226">
        <v>5441119.06</v>
      </c>
      <c r="F55" s="166">
        <f>(+D55-E55)/E55</f>
        <v>-0.07810594756586704</v>
      </c>
      <c r="G55" s="241">
        <f>D55/C55</f>
        <v>0.10735280247651852</v>
      </c>
      <c r="H55" s="242">
        <f>1-G55</f>
        <v>0.8926471975234815</v>
      </c>
      <c r="I55" s="157"/>
    </row>
    <row r="56" spans="1:9" ht="15.75" thickBot="1">
      <c r="A56" s="167"/>
      <c r="B56" s="165"/>
      <c r="C56" s="226"/>
      <c r="D56" s="226"/>
      <c r="E56" s="226"/>
      <c r="F56" s="166"/>
      <c r="G56" s="241"/>
      <c r="H56" s="242"/>
      <c r="I56" s="157"/>
    </row>
    <row r="57" spans="1:9" ht="17.25" thickBot="1" thickTop="1">
      <c r="A57" s="174" t="s">
        <v>14</v>
      </c>
      <c r="B57" s="175"/>
      <c r="C57" s="228">
        <f>SUM(C52:C56)</f>
        <v>192264539.22</v>
      </c>
      <c r="D57" s="230">
        <f>SUM(D52:D56)</f>
        <v>20716528.73</v>
      </c>
      <c r="E57" s="271">
        <f>SUM(E52:E56)</f>
        <v>22419627.55</v>
      </c>
      <c r="F57" s="272">
        <f>(+D57-E57)/E57</f>
        <v>-0.07596463483622859</v>
      </c>
      <c r="G57" s="249">
        <f>D57/C57</f>
        <v>0.10775012809977909</v>
      </c>
      <c r="H57" s="270">
        <f>1-G57</f>
        <v>0.8922498719002209</v>
      </c>
      <c r="I57" s="157"/>
    </row>
    <row r="58" spans="1:9" ht="15.75" thickTop="1">
      <c r="A58" s="167"/>
      <c r="B58" s="168"/>
      <c r="C58" s="226"/>
      <c r="D58" s="226"/>
      <c r="E58" s="226"/>
      <c r="F58" s="166"/>
      <c r="G58" s="241"/>
      <c r="H58" s="242"/>
      <c r="I58" s="157"/>
    </row>
    <row r="59" spans="1:9" ht="15.75">
      <c r="A59" s="164" t="s">
        <v>67</v>
      </c>
      <c r="B59" s="165">
        <f>DATE(18,7,1)</f>
        <v>6757</v>
      </c>
      <c r="C59" s="226">
        <v>116042592.23</v>
      </c>
      <c r="D59" s="226">
        <v>11368416.64</v>
      </c>
      <c r="E59" s="226">
        <v>10117966.68</v>
      </c>
      <c r="F59" s="166">
        <f>(+D59-E59)/E59</f>
        <v>0.12358708024525743</v>
      </c>
      <c r="G59" s="241">
        <f>D59/C59</f>
        <v>0.09796762052219109</v>
      </c>
      <c r="H59" s="242">
        <f>1-G59</f>
        <v>0.9020323794778089</v>
      </c>
      <c r="I59" s="157"/>
    </row>
    <row r="60" spans="1:9" ht="15.75">
      <c r="A60" s="164"/>
      <c r="B60" s="165">
        <f>DATE(18,8,1)</f>
        <v>6788</v>
      </c>
      <c r="C60" s="226">
        <v>116465353.84</v>
      </c>
      <c r="D60" s="226">
        <v>11900739.72</v>
      </c>
      <c r="E60" s="226">
        <v>10081520.41</v>
      </c>
      <c r="F60" s="166">
        <f>(+D60-E60)/E60</f>
        <v>0.18045088796284056</v>
      </c>
      <c r="G60" s="241">
        <f>D60/C60</f>
        <v>0.10218266057345454</v>
      </c>
      <c r="H60" s="242">
        <f>1-G60</f>
        <v>0.8978173394265454</v>
      </c>
      <c r="I60" s="157"/>
    </row>
    <row r="61" spans="1:9" ht="15.75">
      <c r="A61" s="164"/>
      <c r="B61" s="165">
        <f>DATE(18,9,1)</f>
        <v>6819</v>
      </c>
      <c r="C61" s="226">
        <v>111448034.52</v>
      </c>
      <c r="D61" s="226">
        <v>10737435.65</v>
      </c>
      <c r="E61" s="226">
        <v>9642813.36</v>
      </c>
      <c r="F61" s="166">
        <f>(+D61-E61)/E61</f>
        <v>0.11351690104681245</v>
      </c>
      <c r="G61" s="241">
        <f>D61/C61</f>
        <v>0.09634477356415923</v>
      </c>
      <c r="H61" s="242">
        <f>1-G61</f>
        <v>0.9036552264358407</v>
      </c>
      <c r="I61" s="157"/>
    </row>
    <row r="62" spans="1:9" ht="15.75">
      <c r="A62" s="164"/>
      <c r="B62" s="165">
        <f>DATE(18,10,1)</f>
        <v>6849</v>
      </c>
      <c r="C62" s="226">
        <v>108094900.66</v>
      </c>
      <c r="D62" s="226">
        <v>10634805.06</v>
      </c>
      <c r="E62" s="226">
        <v>9440836.54</v>
      </c>
      <c r="F62" s="166">
        <f>(+D62-E62)/E62</f>
        <v>0.12646850890186068</v>
      </c>
      <c r="G62" s="241">
        <f>D62/C62</f>
        <v>0.09838396626544438</v>
      </c>
      <c r="H62" s="242">
        <f>1-G62</f>
        <v>0.9016160337345556</v>
      </c>
      <c r="I62" s="157"/>
    </row>
    <row r="63" spans="1:9" ht="15.75" thickBot="1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Bot="1" thickTop="1">
      <c r="A64" s="174" t="s">
        <v>14</v>
      </c>
      <c r="B64" s="175"/>
      <c r="C64" s="228">
        <f>SUM(C59:C63)</f>
        <v>452050881.25</v>
      </c>
      <c r="D64" s="230">
        <f>SUM(D59:D63)</f>
        <v>44641397.07</v>
      </c>
      <c r="E64" s="271">
        <f>SUM(E59:E63)</f>
        <v>39283136.989999995</v>
      </c>
      <c r="F64" s="176">
        <f>(+D64-E64)/E64</f>
        <v>0.13640102320148254</v>
      </c>
      <c r="G64" s="249">
        <f>D64/C64</f>
        <v>0.09875303626564935</v>
      </c>
      <c r="H64" s="270">
        <f>1-G64</f>
        <v>0.9012469637343506</v>
      </c>
      <c r="I64" s="157"/>
    </row>
    <row r="65" spans="1:9" ht="15.75" thickTop="1">
      <c r="A65" s="167"/>
      <c r="B65" s="179"/>
      <c r="C65" s="229"/>
      <c r="D65" s="229"/>
      <c r="E65" s="229"/>
      <c r="F65" s="180"/>
      <c r="G65" s="247"/>
      <c r="H65" s="248"/>
      <c r="I65" s="157"/>
    </row>
    <row r="66" spans="1:9" ht="15.75">
      <c r="A66" s="164" t="s">
        <v>18</v>
      </c>
      <c r="B66" s="165">
        <f>DATE(18,7,1)</f>
        <v>6757</v>
      </c>
      <c r="C66" s="226">
        <v>150620962.91</v>
      </c>
      <c r="D66" s="226">
        <v>14900304.44</v>
      </c>
      <c r="E66" s="226">
        <v>13990899.67</v>
      </c>
      <c r="F66" s="166">
        <f>(+D66-E66)/E66</f>
        <v>0.06499973493127048</v>
      </c>
      <c r="G66" s="241">
        <f>D66/C66</f>
        <v>0.09892583443981383</v>
      </c>
      <c r="H66" s="242">
        <f>1-G66</f>
        <v>0.9010741655601862</v>
      </c>
      <c r="I66" s="157"/>
    </row>
    <row r="67" spans="1:9" ht="15.75">
      <c r="A67" s="164"/>
      <c r="B67" s="165">
        <f>DATE(18,8,1)</f>
        <v>6788</v>
      </c>
      <c r="C67" s="226">
        <v>151491190.93</v>
      </c>
      <c r="D67" s="226">
        <v>14829811.22</v>
      </c>
      <c r="E67" s="226">
        <v>13373041.55</v>
      </c>
      <c r="F67" s="166">
        <f>(+D67-E67)/E67</f>
        <v>0.10893330919172982</v>
      </c>
      <c r="G67" s="241">
        <f>D67/C67</f>
        <v>0.09789223471648893</v>
      </c>
      <c r="H67" s="242">
        <f>1-G67</f>
        <v>0.9021077652835111</v>
      </c>
      <c r="I67" s="157"/>
    </row>
    <row r="68" spans="1:9" ht="15.75">
      <c r="A68" s="164"/>
      <c r="B68" s="165">
        <f>DATE(18,9,1)</f>
        <v>6819</v>
      </c>
      <c r="C68" s="226">
        <v>146030772.52</v>
      </c>
      <c r="D68" s="226">
        <v>13962676.2</v>
      </c>
      <c r="E68" s="226">
        <v>13392030.43</v>
      </c>
      <c r="F68" s="166">
        <f>(+D68-E68)/E68</f>
        <v>0.04261084777119936</v>
      </c>
      <c r="G68" s="241">
        <f>D68/C68</f>
        <v>0.09561461573510273</v>
      </c>
      <c r="H68" s="242">
        <f>1-G68</f>
        <v>0.9043853842648972</v>
      </c>
      <c r="I68" s="157"/>
    </row>
    <row r="69" spans="1:9" ht="15.75">
      <c r="A69" s="164"/>
      <c r="B69" s="165">
        <f>DATE(18,10,1)</f>
        <v>6849</v>
      </c>
      <c r="C69" s="226">
        <v>136339674.75</v>
      </c>
      <c r="D69" s="226">
        <v>13179828.55</v>
      </c>
      <c r="E69" s="226">
        <v>12769108.56</v>
      </c>
      <c r="F69" s="166">
        <f>(+D69-E69)/E69</f>
        <v>0.032165126333611516</v>
      </c>
      <c r="G69" s="241">
        <f>D69/C69</f>
        <v>0.0966690625760056</v>
      </c>
      <c r="H69" s="242">
        <f>1-G69</f>
        <v>0.9033309374239944</v>
      </c>
      <c r="I69" s="157"/>
    </row>
    <row r="70" spans="1:9" ht="15.75" customHeight="1" thickBot="1">
      <c r="A70" s="164"/>
      <c r="B70" s="165"/>
      <c r="C70" s="226"/>
      <c r="D70" s="226"/>
      <c r="E70" s="226"/>
      <c r="F70" s="166"/>
      <c r="G70" s="241"/>
      <c r="H70" s="242"/>
      <c r="I70" s="157"/>
    </row>
    <row r="71" spans="1:9" ht="17.25" thickBot="1" thickTop="1">
      <c r="A71" s="174" t="s">
        <v>14</v>
      </c>
      <c r="B71" s="181"/>
      <c r="C71" s="228">
        <f>SUM(C66:C70)</f>
        <v>584482601.11</v>
      </c>
      <c r="D71" s="228">
        <f>SUM(D66:D70)</f>
        <v>56872620.41</v>
      </c>
      <c r="E71" s="228">
        <f>SUM(E66:E70)</f>
        <v>53525080.21</v>
      </c>
      <c r="F71" s="176">
        <f>(+D71-E71)/E71</f>
        <v>0.062541526082096</v>
      </c>
      <c r="G71" s="245">
        <f>D71/C71</f>
        <v>0.09730421453434596</v>
      </c>
      <c r="H71" s="246">
        <f>1-G71</f>
        <v>0.9026957854656541</v>
      </c>
      <c r="I71" s="157"/>
    </row>
    <row r="72" spans="1:9" ht="15.75" thickTop="1">
      <c r="A72" s="171"/>
      <c r="B72" s="172"/>
      <c r="C72" s="227"/>
      <c r="D72" s="227"/>
      <c r="E72" s="227"/>
      <c r="F72" s="173"/>
      <c r="G72" s="243"/>
      <c r="H72" s="244"/>
      <c r="I72" s="157"/>
    </row>
    <row r="73" spans="1:9" ht="15.75">
      <c r="A73" s="164" t="s">
        <v>58</v>
      </c>
      <c r="B73" s="165">
        <f>DATE(18,7,1)</f>
        <v>6757</v>
      </c>
      <c r="C73" s="226">
        <v>178050719.09</v>
      </c>
      <c r="D73" s="226">
        <v>16699225.8</v>
      </c>
      <c r="E73" s="226">
        <v>17449857.02</v>
      </c>
      <c r="F73" s="166">
        <f>(+D73-E73)/E73</f>
        <v>-0.0430164682231877</v>
      </c>
      <c r="G73" s="241">
        <f>D73/C73</f>
        <v>0.09378915112136658</v>
      </c>
      <c r="H73" s="242">
        <f>1-G73</f>
        <v>0.9062108488786335</v>
      </c>
      <c r="I73" s="157"/>
    </row>
    <row r="74" spans="1:9" ht="15.75">
      <c r="A74" s="164"/>
      <c r="B74" s="165">
        <f>DATE(18,8,1)</f>
        <v>6788</v>
      </c>
      <c r="C74" s="226">
        <v>177417877.38</v>
      </c>
      <c r="D74" s="226">
        <v>16622760.62</v>
      </c>
      <c r="E74" s="226">
        <v>16610228.17</v>
      </c>
      <c r="F74" s="166">
        <f>(+D74-E74)/E74</f>
        <v>0.0007545019774402807</v>
      </c>
      <c r="G74" s="241">
        <f>D74/C74</f>
        <v>0.09369270372002463</v>
      </c>
      <c r="H74" s="242">
        <f>1-G74</f>
        <v>0.9063072962799754</v>
      </c>
      <c r="I74" s="157"/>
    </row>
    <row r="75" spans="1:9" ht="15.75">
      <c r="A75" s="164"/>
      <c r="B75" s="165">
        <f>DATE(18,9,1)</f>
        <v>6819</v>
      </c>
      <c r="C75" s="226">
        <v>176309993.38</v>
      </c>
      <c r="D75" s="226">
        <v>16260476.05</v>
      </c>
      <c r="E75" s="226">
        <v>16301470.13</v>
      </c>
      <c r="F75" s="166">
        <f>(+D75-E75)/E75</f>
        <v>-0.002514747422967555</v>
      </c>
      <c r="G75" s="241">
        <f>D75/C75</f>
        <v>0.09222662730724447</v>
      </c>
      <c r="H75" s="242">
        <f>1-G75</f>
        <v>0.9077733726927555</v>
      </c>
      <c r="I75" s="157"/>
    </row>
    <row r="76" spans="1:9" ht="15.75">
      <c r="A76" s="164"/>
      <c r="B76" s="165">
        <f>DATE(18,10,1)</f>
        <v>6849</v>
      </c>
      <c r="C76" s="226">
        <v>165733376.61</v>
      </c>
      <c r="D76" s="226">
        <v>15649969.25</v>
      </c>
      <c r="E76" s="226">
        <v>15646297.04</v>
      </c>
      <c r="F76" s="166">
        <f>(+D76-E76)/E76</f>
        <v>0.00023470153932351104</v>
      </c>
      <c r="G76" s="241">
        <f>D76/C76</f>
        <v>0.0944285910907804</v>
      </c>
      <c r="H76" s="242">
        <f>1-G76</f>
        <v>0.9055714089092196</v>
      </c>
      <c r="I76" s="157"/>
    </row>
    <row r="77" spans="1:9" ht="15.75" thickBot="1">
      <c r="A77" s="167"/>
      <c r="B77" s="168"/>
      <c r="C77" s="226"/>
      <c r="D77" s="226"/>
      <c r="E77" s="226"/>
      <c r="F77" s="166"/>
      <c r="G77" s="241"/>
      <c r="H77" s="242"/>
      <c r="I77" s="157"/>
    </row>
    <row r="78" spans="1:9" ht="17.25" thickBot="1" thickTop="1">
      <c r="A78" s="174" t="s">
        <v>14</v>
      </c>
      <c r="B78" s="175"/>
      <c r="C78" s="228">
        <f>SUM(C73:C77)</f>
        <v>697511966.46</v>
      </c>
      <c r="D78" s="228">
        <f>SUM(D73:D77)</f>
        <v>65232431.72</v>
      </c>
      <c r="E78" s="228">
        <f>SUM(E73:E77)</f>
        <v>66007852.36</v>
      </c>
      <c r="F78" s="176">
        <f>(+D78-E78)/E78</f>
        <v>-0.011747399927071352</v>
      </c>
      <c r="G78" s="249">
        <f>D78/C78</f>
        <v>0.09352159512196821</v>
      </c>
      <c r="H78" s="270">
        <f>1-G78</f>
        <v>0.9064784048780318</v>
      </c>
      <c r="I78" s="157"/>
    </row>
    <row r="79" spans="1:9" ht="15.7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>
      <c r="A80" s="164" t="s">
        <v>59</v>
      </c>
      <c r="B80" s="165">
        <f>DATE(18,7,1)</f>
        <v>6757</v>
      </c>
      <c r="C80" s="226">
        <v>24024603.44</v>
      </c>
      <c r="D80" s="226">
        <v>2665233.29</v>
      </c>
      <c r="E80" s="226">
        <v>2744349.13</v>
      </c>
      <c r="F80" s="166">
        <f>(+D80-E80)/E80</f>
        <v>-0.028828635225431342</v>
      </c>
      <c r="G80" s="241">
        <f>D80/C80</f>
        <v>0.11093766008068602</v>
      </c>
      <c r="H80" s="242">
        <f>1-G80</f>
        <v>0.8890623399193139</v>
      </c>
      <c r="I80" s="157"/>
    </row>
    <row r="81" spans="1:9" ht="15.75">
      <c r="A81" s="164"/>
      <c r="B81" s="165">
        <f>DATE(18,8,1)</f>
        <v>6788</v>
      </c>
      <c r="C81" s="226">
        <v>22943875.77</v>
      </c>
      <c r="D81" s="226">
        <v>2551392.61</v>
      </c>
      <c r="E81" s="226">
        <v>2540959.26</v>
      </c>
      <c r="F81" s="166">
        <f>(+D81-E81)/E81</f>
        <v>0.004106067406999707</v>
      </c>
      <c r="G81" s="241">
        <f>D81/C81</f>
        <v>0.11120146550549423</v>
      </c>
      <c r="H81" s="242">
        <f>1-G81</f>
        <v>0.8887985344945057</v>
      </c>
      <c r="I81" s="157"/>
    </row>
    <row r="82" spans="1:9" ht="15.75">
      <c r="A82" s="164"/>
      <c r="B82" s="165">
        <f>DATE(18,9,1)</f>
        <v>6819</v>
      </c>
      <c r="C82" s="226">
        <v>21572518.82</v>
      </c>
      <c r="D82" s="226">
        <v>2483855.77</v>
      </c>
      <c r="E82" s="226">
        <v>2634253.17</v>
      </c>
      <c r="F82" s="166">
        <f>(+D82-E82)/E82</f>
        <v>-0.057092993837035</v>
      </c>
      <c r="G82" s="241">
        <f>D82/C82</f>
        <v>0.11513981240323239</v>
      </c>
      <c r="H82" s="242">
        <f>1-G82</f>
        <v>0.8848601875967677</v>
      </c>
      <c r="I82" s="157"/>
    </row>
    <row r="83" spans="1:9" ht="15.75">
      <c r="A83" s="164"/>
      <c r="B83" s="165">
        <f>DATE(18,10,1)</f>
        <v>6849</v>
      </c>
      <c r="C83" s="226">
        <v>20179012.58</v>
      </c>
      <c r="D83" s="226">
        <v>2351894.38</v>
      </c>
      <c r="E83" s="226">
        <v>2351008.96</v>
      </c>
      <c r="F83" s="166">
        <f>(+D83-E83)/E83</f>
        <v>0.0003766127713949357</v>
      </c>
      <c r="G83" s="241">
        <f>D83/C83</f>
        <v>0.11655150967748691</v>
      </c>
      <c r="H83" s="242">
        <f>1-G83</f>
        <v>0.883448490322513</v>
      </c>
      <c r="I83" s="157"/>
    </row>
    <row r="84" spans="1:9" ht="15.75" thickBot="1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7.25" thickBot="1" thickTop="1">
      <c r="A85" s="182" t="s">
        <v>14</v>
      </c>
      <c r="B85" s="183"/>
      <c r="C85" s="230">
        <f>SUM(C80:C84)</f>
        <v>88720010.61</v>
      </c>
      <c r="D85" s="230">
        <f>SUM(D80:D84)</f>
        <v>10052376.05</v>
      </c>
      <c r="E85" s="230">
        <f>SUM(E80:E84)</f>
        <v>10270570.52</v>
      </c>
      <c r="F85" s="176">
        <f>(+D85-E85)/E85</f>
        <v>-0.02124462994291371</v>
      </c>
      <c r="G85" s="249">
        <f>D85/C85</f>
        <v>0.11330449557979376</v>
      </c>
      <c r="H85" s="246">
        <f>1-G85</f>
        <v>0.8866955044202063</v>
      </c>
      <c r="I85" s="157"/>
    </row>
    <row r="86" spans="1:9" ht="15.75" thickTop="1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>
      <c r="A87" s="164" t="s">
        <v>40</v>
      </c>
      <c r="B87" s="165">
        <f>DATE(18,7,1)</f>
        <v>6757</v>
      </c>
      <c r="C87" s="226">
        <v>216736742.84</v>
      </c>
      <c r="D87" s="226">
        <v>19406302.42</v>
      </c>
      <c r="E87" s="226">
        <v>20250233.59</v>
      </c>
      <c r="F87" s="166">
        <f>(+D87-E87)/E87</f>
        <v>-0.04167513259781603</v>
      </c>
      <c r="G87" s="241">
        <f>D87/C87</f>
        <v>0.08953859029950531</v>
      </c>
      <c r="H87" s="242">
        <f>1-G87</f>
        <v>0.9104614097004947</v>
      </c>
      <c r="I87" s="157"/>
    </row>
    <row r="88" spans="1:9" ht="15.75">
      <c r="A88" s="164"/>
      <c r="B88" s="165">
        <f>DATE(18,8,1)</f>
        <v>6788</v>
      </c>
      <c r="C88" s="226">
        <v>217223700.98</v>
      </c>
      <c r="D88" s="226">
        <v>19632454.71</v>
      </c>
      <c r="E88" s="226">
        <v>18649872.98</v>
      </c>
      <c r="F88" s="166">
        <f>(+D88-E88)/E88</f>
        <v>0.05268570628088001</v>
      </c>
      <c r="G88" s="241">
        <f>D88/C88</f>
        <v>0.09037897163812517</v>
      </c>
      <c r="H88" s="242">
        <f>1-G88</f>
        <v>0.9096210283618749</v>
      </c>
      <c r="I88" s="157"/>
    </row>
    <row r="89" spans="1:9" ht="15.75">
      <c r="A89" s="164"/>
      <c r="B89" s="165">
        <f>DATE(18,9,1)</f>
        <v>6819</v>
      </c>
      <c r="C89" s="226">
        <v>205256989.51</v>
      </c>
      <c r="D89" s="226">
        <v>18357005.34</v>
      </c>
      <c r="E89" s="226">
        <v>18449653.52</v>
      </c>
      <c r="F89" s="166">
        <f>(+D89-E89)/E89</f>
        <v>-0.0050216758758946985</v>
      </c>
      <c r="G89" s="241">
        <f>D89/C89</f>
        <v>0.08943425207503425</v>
      </c>
      <c r="H89" s="242">
        <f>1-G89</f>
        <v>0.9105657479249658</v>
      </c>
      <c r="I89" s="157"/>
    </row>
    <row r="90" spans="1:9" ht="15.75">
      <c r="A90" s="164"/>
      <c r="B90" s="165">
        <f>DATE(18,10,1)</f>
        <v>6849</v>
      </c>
      <c r="C90" s="226">
        <v>197988846.7</v>
      </c>
      <c r="D90" s="226">
        <v>17743741.07</v>
      </c>
      <c r="E90" s="226">
        <v>17943427.35</v>
      </c>
      <c r="F90" s="166">
        <f>(+D90-E90)/E90</f>
        <v>-0.011128658762062042</v>
      </c>
      <c r="G90" s="241">
        <f>D90/C90</f>
        <v>0.08961990215987253</v>
      </c>
      <c r="H90" s="242">
        <f>1-G90</f>
        <v>0.9103800978401275</v>
      </c>
      <c r="I90" s="157"/>
    </row>
    <row r="91" spans="1:9" ht="15.75" thickBot="1">
      <c r="A91" s="167"/>
      <c r="B91" s="168"/>
      <c r="C91" s="226"/>
      <c r="D91" s="226"/>
      <c r="E91" s="226"/>
      <c r="F91" s="166"/>
      <c r="G91" s="241"/>
      <c r="H91" s="242"/>
      <c r="I91" s="157"/>
    </row>
    <row r="92" spans="1:9" ht="17.25" thickBot="1" thickTop="1">
      <c r="A92" s="174" t="s">
        <v>14</v>
      </c>
      <c r="B92" s="175"/>
      <c r="C92" s="228">
        <f>SUM(C87:C91)</f>
        <v>837206280.03</v>
      </c>
      <c r="D92" s="228">
        <f>SUM(D87:D91)</f>
        <v>75139503.53999999</v>
      </c>
      <c r="E92" s="228">
        <f>SUM(E87:E91)</f>
        <v>75293187.44</v>
      </c>
      <c r="F92" s="176">
        <f>(+D92-E92)/E92</f>
        <v>-0.0020411395137504883</v>
      </c>
      <c r="G92" s="245">
        <f>D92/C92</f>
        <v>0.08975028655698508</v>
      </c>
      <c r="H92" s="246">
        <f>1-G92</f>
        <v>0.910249713443015</v>
      </c>
      <c r="I92" s="157"/>
    </row>
    <row r="93" spans="1:9" ht="15.7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>
      <c r="A94" s="164" t="s">
        <v>64</v>
      </c>
      <c r="B94" s="165">
        <f>DATE(18,7,1)</f>
        <v>6757</v>
      </c>
      <c r="C94" s="226">
        <v>30178966.07</v>
      </c>
      <c r="D94" s="226">
        <v>3425449</v>
      </c>
      <c r="E94" s="226">
        <v>3031134.15</v>
      </c>
      <c r="F94" s="166">
        <f>(+D94-E94)/E94</f>
        <v>0.13008822126859682</v>
      </c>
      <c r="G94" s="241">
        <f>D94/C94</f>
        <v>0.11350451808238506</v>
      </c>
      <c r="H94" s="242">
        <f>1-G94</f>
        <v>0.886495481917615</v>
      </c>
      <c r="I94" s="157"/>
    </row>
    <row r="95" spans="1:9" ht="15.75">
      <c r="A95" s="164"/>
      <c r="B95" s="165">
        <f>DATE(18,8,1)</f>
        <v>6788</v>
      </c>
      <c r="C95" s="226">
        <v>31687944.14</v>
      </c>
      <c r="D95" s="226">
        <v>3421840.59</v>
      </c>
      <c r="E95" s="226">
        <v>3021204.93</v>
      </c>
      <c r="F95" s="166">
        <f>(+D95-E95)/E95</f>
        <v>0.13260790621045349</v>
      </c>
      <c r="G95" s="241">
        <f>D95/C95</f>
        <v>0.10798556621035497</v>
      </c>
      <c r="H95" s="242">
        <f>1-G95</f>
        <v>0.8920144337896451</v>
      </c>
      <c r="I95" s="157"/>
    </row>
    <row r="96" spans="1:9" ht="15.75">
      <c r="A96" s="164"/>
      <c r="B96" s="165">
        <f>DATE(18,9,1)</f>
        <v>6819</v>
      </c>
      <c r="C96" s="226">
        <v>28817033.2</v>
      </c>
      <c r="D96" s="226">
        <v>3252949</v>
      </c>
      <c r="E96" s="226">
        <v>3254625.5</v>
      </c>
      <c r="F96" s="166">
        <f>(+D96-E96)/E96</f>
        <v>-0.0005151130291334594</v>
      </c>
      <c r="G96" s="241">
        <f>D96/C96</f>
        <v>0.11288285568550478</v>
      </c>
      <c r="H96" s="242">
        <f>1-G96</f>
        <v>0.8871171443144952</v>
      </c>
      <c r="I96" s="157"/>
    </row>
    <row r="97" spans="1:9" ht="15.75">
      <c r="A97" s="164"/>
      <c r="B97" s="165">
        <f>DATE(18,10,1)</f>
        <v>6849</v>
      </c>
      <c r="C97" s="226">
        <v>29906173.86</v>
      </c>
      <c r="D97" s="226">
        <v>3250399.43</v>
      </c>
      <c r="E97" s="226">
        <v>3125463.3</v>
      </c>
      <c r="F97" s="166">
        <f>(+D97-E97)/E97</f>
        <v>0.03997363526872971</v>
      </c>
      <c r="G97" s="241">
        <f>D97/C97</f>
        <v>0.10868656904143338</v>
      </c>
      <c r="H97" s="242">
        <f>1-G97</f>
        <v>0.8913134309585666</v>
      </c>
      <c r="I97" s="157"/>
    </row>
    <row r="98" spans="1:9" ht="15.75" thickBot="1">
      <c r="A98" s="167"/>
      <c r="B98" s="168"/>
      <c r="C98" s="226"/>
      <c r="D98" s="226"/>
      <c r="E98" s="226"/>
      <c r="F98" s="166"/>
      <c r="G98" s="241"/>
      <c r="H98" s="242"/>
      <c r="I98" s="157"/>
    </row>
    <row r="99" spans="1:9" ht="17.25" thickBot="1" thickTop="1">
      <c r="A99" s="169" t="s">
        <v>14</v>
      </c>
      <c r="B99" s="155"/>
      <c r="C99" s="223">
        <f>SUM(C94:C98)</f>
        <v>120590117.27</v>
      </c>
      <c r="D99" s="223">
        <f>SUM(D94:D98)</f>
        <v>13350638.02</v>
      </c>
      <c r="E99" s="223">
        <f>SUM(E94:E98)</f>
        <v>12432427.879999999</v>
      </c>
      <c r="F99" s="176">
        <f>(+D99-E99)/E99</f>
        <v>0.07385606004416256</v>
      </c>
      <c r="G99" s="245">
        <f>D99/C99</f>
        <v>0.11071088014706928</v>
      </c>
      <c r="H99" s="246">
        <f>1-G99</f>
        <v>0.8892891198529307</v>
      </c>
      <c r="I99" s="157"/>
    </row>
    <row r="100" spans="1:9" ht="16.5" thickBot="1" thickTop="1">
      <c r="A100" s="171"/>
      <c r="B100" s="172"/>
      <c r="C100" s="227"/>
      <c r="D100" s="227"/>
      <c r="E100" s="227"/>
      <c r="F100" s="173"/>
      <c r="G100" s="243"/>
      <c r="H100" s="244"/>
      <c r="I100" s="157"/>
    </row>
    <row r="101" spans="1:9" ht="17.25" thickBot="1" thickTop="1">
      <c r="A101" s="184" t="s">
        <v>41</v>
      </c>
      <c r="B101" s="155"/>
      <c r="C101" s="223">
        <f>C99+C92+C71+C57+C43+C29+C15+C36+C85+C22+C64+C78+C50</f>
        <v>5129675724.23</v>
      </c>
      <c r="D101" s="223">
        <f>D99+D92+D71+D57+D43+D29+D15+D36+D85+D22+D64+D78+D50</f>
        <v>499335887.31999993</v>
      </c>
      <c r="E101" s="223">
        <f>E99+E92+E71+E57+E43+E29+E15+E36+E85+E22+E64+E78+E50</f>
        <v>496394152.68</v>
      </c>
      <c r="F101" s="170">
        <f>(+D101-E101)/E101</f>
        <v>0.005926207277256774</v>
      </c>
      <c r="G101" s="236">
        <f>D101/C101</f>
        <v>0.09734258346222338</v>
      </c>
      <c r="H101" s="237">
        <f>1-G101</f>
        <v>0.9026574165377766</v>
      </c>
      <c r="I101" s="157"/>
    </row>
    <row r="102" spans="1:9" ht="17.25" thickBot="1" thickTop="1">
      <c r="A102" s="184"/>
      <c r="B102" s="155"/>
      <c r="C102" s="223"/>
      <c r="D102" s="223"/>
      <c r="E102" s="223"/>
      <c r="F102" s="170"/>
      <c r="G102" s="236"/>
      <c r="H102" s="237"/>
      <c r="I102" s="157"/>
    </row>
    <row r="103" spans="1:9" ht="17.25" thickBot="1" thickTop="1">
      <c r="A103" s="184" t="s">
        <v>42</v>
      </c>
      <c r="B103" s="155"/>
      <c r="C103" s="223">
        <f>+C13+C20+C27+C34+C41+C48+C55+C62+C69+C76+C83+C90+C97</f>
        <v>1223449147.4299998</v>
      </c>
      <c r="D103" s="223">
        <f>+D13+D20+D27+D34+D41+D48+D55+D62+D69+D76+D83+D90+D97</f>
        <v>118693453.75</v>
      </c>
      <c r="E103" s="223">
        <f>+E13+E20+E27+E34+E41+E48+E55+E62+E69+E76+E83+E90+E97</f>
        <v>118064642.35000001</v>
      </c>
      <c r="F103" s="170">
        <f>(+D103-E103)/E103</f>
        <v>0.0053259925027841415</v>
      </c>
      <c r="G103" s="236">
        <f>D103/C103</f>
        <v>0.09701543705296595</v>
      </c>
      <c r="H103" s="246">
        <f>1-G103</f>
        <v>0.9029845629470341</v>
      </c>
      <c r="I103" s="157"/>
    </row>
    <row r="104" spans="1:9" ht="16.5" thickTop="1">
      <c r="A104" s="185"/>
      <c r="B104" s="186"/>
      <c r="C104" s="231"/>
      <c r="D104" s="231"/>
      <c r="E104" s="231"/>
      <c r="F104" s="187"/>
      <c r="G104" s="250"/>
      <c r="H104" s="250"/>
      <c r="I104" s="151"/>
    </row>
    <row r="105" spans="1:9" ht="16.5" customHeight="1">
      <c r="A105" s="188" t="s">
        <v>52</v>
      </c>
      <c r="B105" s="189"/>
      <c r="C105" s="232"/>
      <c r="D105" s="232"/>
      <c r="E105" s="232"/>
      <c r="F105" s="190"/>
      <c r="G105" s="251"/>
      <c r="H105" s="251"/>
      <c r="I105" s="151"/>
    </row>
    <row r="106" spans="1:9" ht="15.75">
      <c r="A106" s="191"/>
      <c r="B106" s="189"/>
      <c r="C106" s="232"/>
      <c r="D106" s="232"/>
      <c r="E106" s="232"/>
      <c r="F106" s="190"/>
      <c r="G106" s="257"/>
      <c r="H106" s="257"/>
      <c r="I106" s="151"/>
    </row>
    <row r="107" spans="1:9" ht="15.75">
      <c r="A107" s="72"/>
      <c r="I107" s="151"/>
    </row>
  </sheetData>
  <sheetProtection/>
  <printOptions horizontalCentered="1"/>
  <pageMargins left="0.75" right="0.25" top="0.3194" bottom="0.2" header="0.5" footer="0.5"/>
  <pageSetup horizontalDpi="600" verticalDpi="600" orientation="landscape" scale="64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2018-11-08T14:53:47Z</cp:lastPrinted>
  <dcterms:created xsi:type="dcterms:W3CDTF">2003-09-09T14:41:43Z</dcterms:created>
  <dcterms:modified xsi:type="dcterms:W3CDTF">2018-11-08T20:21:17Z</dcterms:modified>
  <cp:category/>
  <cp:version/>
  <cp:contentType/>
  <cp:contentStatus/>
</cp:coreProperties>
</file>