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STATS'!$A$1:$M$78</definedName>
    <definedName name="_xlnm.Print_Area" localSheetId="3">'SLOT STATS'!$A$1:$I$79</definedName>
    <definedName name="_xlnm.Print_Area" localSheetId="2">'TABLE STATS'!$A$1:$H$78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<sst xmlns="http://schemas.openxmlformats.org/spreadsheetml/2006/main" count="192" uniqueCount="75">
  <si>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</si>
  <si>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</si>
  <si>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</si>
  <si>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</si>
  <si>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</si>
  <si>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</si>
  <si>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</si>
  <si>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</si>
  <si>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</si>
  <si>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</si>
  <si>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</si>
  <si>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</si>
  <si>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</si>
  <si>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</si>
  <si>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</si>
  <si>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</si>
  <si>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</si>
  <si>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</si>
  <si>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</si>
  <si>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</si>
  <si>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</si>
  <si>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</si>
  <si>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</si>
  <si>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</si>
  <si>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</si>
  <si>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</si>
  <si>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</si>
  <si>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</si>
  <si>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</si>
  <si>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</si>
  <si>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</si>
  <si>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</si>
  <si>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</si>
  <si>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</si>
  <si>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</si>
  <si>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</si>
  <si>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</si>
  <si>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</si>
  <si>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</si>
  <si>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</si>
  <si>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</si>
  <si>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</si>
  <si>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</si>
  <si>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</si>
  <si>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</si>
  <si>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</si>
  <si>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</si>
  <si>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</si>
  <si>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</si>
  <si>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</si>
  <si>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</si>
  <si>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</si>
  <si>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</si>
  <si>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</si>
  <si>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</si>
  <si>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</si>
  <si>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</si>
  <si>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</si>
  <si>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</si>
  <si>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</si>
  <si>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</si>
  <si>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</si>
  <si>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</si>
  <si>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</si>
  <si>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</si>
  <si>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</si>
  <si>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</si>
  <si>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</si>
  <si>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</si>
  <si>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AUGUST 31, 2018</t>
  </si>
  <si>
    <t>(as reported on the tax remittal database dtd 9/7/18)</t>
  </si>
  <si>
    <t>FOR THE MONTH ENDED:   AUGUST 31, 2018</t>
  </si>
  <si>
    <t>THRU MONTH ENDED:   AUGUST 31, 2018</t>
  </si>
  <si>
    <t>(as reported on the tax remittal database as of 9/7/18)</t>
  </si>
  <si>
    <t>THRU MONTH ENDED:     AUGUST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</si>
</sst>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>(+C9-D9)/D9</f>
        <v>-0.11384965785112203</v>
      </c>
      <c r="F9" s="21">
        <f>+C9-122888</f>
        <v>138568</v>
      </c>
      <c r="G9" s="21">
        <f>+D9-138811</f>
        <v>156236</v>
      </c>
      <c r="H9" s="23">
        <f>(+F9-G9)/G9</f>
        <v>-0.11308533244578714</v>
      </c>
      <c r="I9" s="24">
        <f>K9/C9</f>
        <v>51.156026597209475</v>
      </c>
      <c r="J9" s="24">
        <f>K9/F9</f>
        <v>96.52336823797702</v>
      </c>
      <c r="K9" s="21">
        <v>13375050.09</v>
      </c>
      <c r="L9" s="21">
        <v>14143686.63</v>
      </c>
      <c r="M9" s="25">
        <f>(+K9-L9)/L9</f>
        <v>-0.05434485082338118</v>
      </c>
      <c r="N9" s="10"/>
      <c r="R9" s="2"/>
    </row>
    <row r="10" spans="1:18" ht="15.75">
      <c r="A10" s="19"/>
      <c r="B10" s="20">
        <f>DATE(2018,8,1)</f>
        <v>43313</v>
      </c>
      <c r="C10" s="21">
        <v>266367</v>
      </c>
      <c r="D10" s="22">
        <v>268688</v>
      </c>
      <c r="E10" s="23">
        <f>(+C10-D10)/D10</f>
        <v>-0.008638271899005538</v>
      </c>
      <c r="F10" s="21">
        <f>+C10-122166</f>
        <v>144201</v>
      </c>
      <c r="G10" s="21">
        <f>+D10-125473</f>
        <v>143215</v>
      </c>
      <c r="H10" s="23">
        <f>(+F10-G10)/G10</f>
        <v>0.006884753692001536</v>
      </c>
      <c r="I10" s="24">
        <f>K10/C10</f>
        <v>52.40101754346447</v>
      </c>
      <c r="J10" s="24">
        <f>K10/F10</f>
        <v>96.79476453006568</v>
      </c>
      <c r="K10" s="21">
        <v>13957901.84</v>
      </c>
      <c r="L10" s="21">
        <v>13000027.54</v>
      </c>
      <c r="M10" s="25">
        <f>(+K10-L10)/L10</f>
        <v>0.07368248236803357</v>
      </c>
      <c r="N10" s="10"/>
      <c r="R10" s="2"/>
    </row>
    <row r="11" spans="1:18" ht="15.75" customHeight="1" thickBot="1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Bot="1" thickTop="1">
      <c r="A12" s="26" t="s">
        <v>14</v>
      </c>
      <c r="B12" s="27"/>
      <c r="C12" s="28">
        <f>SUM(C9:C11)</f>
        <v>527823</v>
      </c>
      <c r="D12" s="28">
        <f>SUM(D9:D11)</f>
        <v>563735</v>
      </c>
      <c r="E12" s="279">
        <f>(+C12-D12)/D12</f>
        <v>-0.06370369056382875</v>
      </c>
      <c r="F12" s="28">
        <f>SUM(F9:F11)</f>
        <v>282769</v>
      </c>
      <c r="G12" s="28">
        <f>SUM(G9:G11)</f>
        <v>299451</v>
      </c>
      <c r="H12" s="30">
        <f>(+F12-G12)/G12</f>
        <v>-0.05570861342924218</v>
      </c>
      <c r="I12" s="31">
        <f>K12/C12</f>
        <v>51.78431392720666</v>
      </c>
      <c r="J12" s="31">
        <f>K12/F12</f>
        <v>96.66176960699369</v>
      </c>
      <c r="K12" s="28">
        <f>SUM(K9:K11)</f>
        <v>27332951.93</v>
      </c>
      <c r="L12" s="28">
        <f>SUM(L9:L11)</f>
        <v>27143714.17</v>
      </c>
      <c r="M12" s="32">
        <f>(+K12-L12)/L12</f>
        <v>0.006971697344542068</v>
      </c>
      <c r="N12" s="10"/>
      <c r="R12" s="2"/>
    </row>
    <row r="13" spans="1:18" ht="15.75" customHeight="1" thickTop="1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>
      <c r="A14" s="19" t="s">
        <v>15</v>
      </c>
      <c r="B14" s="20">
        <f>DATE(2018,7,1)</f>
        <v>43282</v>
      </c>
      <c r="C14" s="21">
        <v>142477</v>
      </c>
      <c r="D14" s="21">
        <v>154485</v>
      </c>
      <c r="E14" s="23">
        <f>(+C14-D14)/D14</f>
        <v>-0.07772922937502023</v>
      </c>
      <c r="F14" s="21">
        <f>+C14-67443</f>
        <v>75034</v>
      </c>
      <c r="G14" s="21">
        <f>+D14-74453</f>
        <v>80032</v>
      </c>
      <c r="H14" s="23">
        <f>(+F14-G14)/G14</f>
        <v>-0.0624500199920032</v>
      </c>
      <c r="I14" s="24">
        <f>K14/C14</f>
        <v>51.76168967622844</v>
      </c>
      <c r="J14" s="24">
        <f>K14/F14</f>
        <v>98.28678012634272</v>
      </c>
      <c r="K14" s="21">
        <v>7374850.26</v>
      </c>
      <c r="L14" s="21">
        <v>7453089.46</v>
      </c>
      <c r="M14" s="25">
        <f>(+K14-L14)/L14</f>
        <v>-0.010497552782628237</v>
      </c>
      <c r="N14" s="10"/>
      <c r="R14" s="2"/>
    </row>
    <row r="15" spans="1:18" ht="15.75">
      <c r="A15" s="19"/>
      <c r="B15" s="20">
        <f>DATE(2018,8,1)</f>
        <v>43313</v>
      </c>
      <c r="C15" s="21">
        <v>137832</v>
      </c>
      <c r="D15" s="21">
        <v>146885</v>
      </c>
      <c r="E15" s="23">
        <f>(+C15-D15)/D15</f>
        <v>-0.06163325050209347</v>
      </c>
      <c r="F15" s="21">
        <f>+C15-65951</f>
        <v>71881</v>
      </c>
      <c r="G15" s="21">
        <f>+D15-69501</f>
        <v>77384</v>
      </c>
      <c r="H15" s="23">
        <f>(+F15-G15)/G15</f>
        <v>-0.07111289155380958</v>
      </c>
      <c r="I15" s="24">
        <f>K15/C15</f>
        <v>51.50183643856289</v>
      </c>
      <c r="J15" s="24">
        <f>K15/F15</f>
        <v>98.75490212990915</v>
      </c>
      <c r="K15" s="21">
        <v>7098601.12</v>
      </c>
      <c r="L15" s="21">
        <v>6887015.31</v>
      </c>
      <c r="M15" s="25">
        <f>(+K15-L15)/L15</f>
        <v>0.03072242480610959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Bot="1" thickTop="1">
      <c r="A17" s="26" t="s">
        <v>14</v>
      </c>
      <c r="B17" s="27"/>
      <c r="C17" s="28">
        <f>SUM(C14:C16)</f>
        <v>280309</v>
      </c>
      <c r="D17" s="28">
        <f>SUM(D14:D16)</f>
        <v>301370</v>
      </c>
      <c r="E17" s="279">
        <f>(+C17-D17)/D17</f>
        <v>-0.06988419550718386</v>
      </c>
      <c r="F17" s="28">
        <f>SUM(F14:F16)</f>
        <v>146915</v>
      </c>
      <c r="G17" s="28">
        <f>SUM(G14:G16)</f>
        <v>157416</v>
      </c>
      <c r="H17" s="30">
        <f>(+F17-G17)/G17</f>
        <v>-0.06670859378970372</v>
      </c>
      <c r="I17" s="31">
        <f>K17/C17</f>
        <v>51.63391607119286</v>
      </c>
      <c r="J17" s="31">
        <f>K17/F17</f>
        <v>98.51581785386107</v>
      </c>
      <c r="K17" s="28">
        <f>SUM(K14:K16)</f>
        <v>14473451.379999999</v>
      </c>
      <c r="L17" s="28">
        <f>SUM(L14:L16)</f>
        <v>14340104.77</v>
      </c>
      <c r="M17" s="32">
        <f>(+K17-L17)/L17</f>
        <v>0.009298858839508982</v>
      </c>
      <c r="N17" s="10"/>
      <c r="R17" s="2"/>
    </row>
    <row r="18" spans="1:18" ht="15.75" customHeight="1" thickTop="1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>
      <c r="A19" s="19" t="s">
        <v>56</v>
      </c>
      <c r="B19" s="20">
        <f>DATE(2018,7,1)</f>
        <v>43282</v>
      </c>
      <c r="C19" s="21">
        <v>72910</v>
      </c>
      <c r="D19" s="21">
        <v>74865</v>
      </c>
      <c r="E19" s="23">
        <f>(+C19-D19)/D19</f>
        <v>-0.026113671274961597</v>
      </c>
      <c r="F19" s="21">
        <f>+C19-39365</f>
        <v>33545</v>
      </c>
      <c r="G19" s="21">
        <f>+D19-41129</f>
        <v>33736</v>
      </c>
      <c r="H19" s="23">
        <f>(+F19-G19)/G19</f>
        <v>-0.0056616077780412616</v>
      </c>
      <c r="I19" s="24">
        <f>K19/C19</f>
        <v>44.78074132492114</v>
      </c>
      <c r="J19" s="24">
        <f>K19/F19</f>
        <v>97.33086451035922</v>
      </c>
      <c r="K19" s="21">
        <v>3264963.85</v>
      </c>
      <c r="L19" s="21">
        <v>3281831.24</v>
      </c>
      <c r="M19" s="25">
        <f>(+K19-L19)/L19</f>
        <v>-0.005139627472130507</v>
      </c>
      <c r="N19" s="10"/>
      <c r="R19" s="2"/>
    </row>
    <row r="20" spans="1:18" ht="15.75" customHeight="1">
      <c r="A20" s="19"/>
      <c r="B20" s="20">
        <f>DATE(2018,8,1)</f>
        <v>43313</v>
      </c>
      <c r="C20" s="21">
        <v>70597</v>
      </c>
      <c r="D20" s="21">
        <v>67175</v>
      </c>
      <c r="E20" s="23">
        <f>(+C20-D20)/D20</f>
        <v>0.05094157052474879</v>
      </c>
      <c r="F20" s="21">
        <f>+C20-38383</f>
        <v>32214</v>
      </c>
      <c r="G20" s="21">
        <f>+D20-36831</f>
        <v>30344</v>
      </c>
      <c r="H20" s="23">
        <f>(+F20-G20)/G20</f>
        <v>0.06162668072765621</v>
      </c>
      <c r="I20" s="24">
        <f>K20/C20</f>
        <v>44.26041134892417</v>
      </c>
      <c r="J20" s="24">
        <f>K20/F20</f>
        <v>96.9967175762091</v>
      </c>
      <c r="K20" s="21">
        <v>3124652.26</v>
      </c>
      <c r="L20" s="21">
        <v>2914048.09</v>
      </c>
      <c r="M20" s="25">
        <f>(+K20-L20)/L20</f>
        <v>0.07227202966303824</v>
      </c>
      <c r="N20" s="10"/>
      <c r="R20" s="2"/>
    </row>
    <row r="21" spans="1:18" ht="15.75" customHeight="1" thickBot="1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Bot="1" thickTop="1">
      <c r="A22" s="39" t="s">
        <v>14</v>
      </c>
      <c r="B22" s="40"/>
      <c r="C22" s="41">
        <f>SUM(C19:C21)</f>
        <v>143507</v>
      </c>
      <c r="D22" s="41">
        <f>SUM(D19:D21)</f>
        <v>142040</v>
      </c>
      <c r="E22" s="280">
        <f>(+C22-D22)/D22</f>
        <v>0.010328076598141368</v>
      </c>
      <c r="F22" s="41">
        <f>SUM(F19:F21)</f>
        <v>65759</v>
      </c>
      <c r="G22" s="41">
        <f>SUM(G19:G21)</f>
        <v>64080</v>
      </c>
      <c r="H22" s="42">
        <f>(+F22-G22)/G22</f>
        <v>0.026201622971285893</v>
      </c>
      <c r="I22" s="43">
        <f>K22/C22</f>
        <v>44.52476959312089</v>
      </c>
      <c r="J22" s="43">
        <f>K22/F22</f>
        <v>97.1671727063976</v>
      </c>
      <c r="K22" s="41">
        <f>SUM(K19:K21)</f>
        <v>6389616.109999999</v>
      </c>
      <c r="L22" s="41">
        <f>SUM(L19:L21)</f>
        <v>6195879.33</v>
      </c>
      <c r="M22" s="44">
        <f>(+K22-L22)/L22</f>
        <v>0.03126864964298769</v>
      </c>
      <c r="N22" s="10"/>
      <c r="R22" s="2"/>
    </row>
    <row r="23" spans="1:18" ht="15.75" customHeight="1" thickTop="1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>
      <c r="A24" s="177" t="s">
        <v>65</v>
      </c>
      <c r="B24" s="20">
        <f>DATE(2018,7,1)</f>
        <v>43282</v>
      </c>
      <c r="C24" s="21">
        <v>465892</v>
      </c>
      <c r="D24" s="21">
        <v>502707</v>
      </c>
      <c r="E24" s="23">
        <f>(+C24-D24)/D24</f>
        <v>-0.07323351375652219</v>
      </c>
      <c r="F24" s="21">
        <f>+C24-233751</f>
        <v>232141</v>
      </c>
      <c r="G24" s="21">
        <f>+D24-258518</f>
        <v>244189</v>
      </c>
      <c r="H24" s="23">
        <f>(+F24-G24)/G24</f>
        <v>-0.04933883180651053</v>
      </c>
      <c r="I24" s="24">
        <f>K24/C24</f>
        <v>43.31496016244108</v>
      </c>
      <c r="J24" s="24">
        <f>K24/F24</f>
        <v>86.93032863647525</v>
      </c>
      <c r="K24" s="21">
        <v>20180093.42</v>
      </c>
      <c r="L24" s="21">
        <v>21241004.79</v>
      </c>
      <c r="M24" s="25">
        <f>(+K24-L24)/L24</f>
        <v>-0.04994638344507418</v>
      </c>
      <c r="N24" s="10"/>
      <c r="R24" s="2"/>
    </row>
    <row r="25" spans="1:18" ht="15.75" customHeight="1">
      <c r="A25" s="177"/>
      <c r="B25" s="20">
        <f>DATE(2018,8,1)</f>
        <v>43313</v>
      </c>
      <c r="C25" s="21">
        <v>454572</v>
      </c>
      <c r="D25" s="21">
        <v>453491</v>
      </c>
      <c r="E25" s="23">
        <f>(+C25-D25)/D25</f>
        <v>0.0023837297763351422</v>
      </c>
      <c r="F25" s="21">
        <f>+C25-227733</f>
        <v>226839</v>
      </c>
      <c r="G25" s="21">
        <f>+D25-231314</f>
        <v>222177</v>
      </c>
      <c r="H25" s="23">
        <f>(+F25-G25)/G25</f>
        <v>0.020983270095464426</v>
      </c>
      <c r="I25" s="24">
        <f>K25/C25</f>
        <v>44.90025945284795</v>
      </c>
      <c r="J25" s="24">
        <f>K25/F25</f>
        <v>89.97747627171694</v>
      </c>
      <c r="K25" s="21">
        <v>20410400.74</v>
      </c>
      <c r="L25" s="21">
        <v>19752724.44</v>
      </c>
      <c r="M25" s="25">
        <f>(+K25-L25)/L25</f>
        <v>0.03329547283453102</v>
      </c>
      <c r="N25" s="10"/>
      <c r="R25" s="2"/>
    </row>
    <row r="26" spans="1:18" ht="15.75" thickBot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SUM(C24:C26)</f>
        <v>920464</v>
      </c>
      <c r="D27" s="41">
        <f>SUM(D24:D26)</f>
        <v>956198</v>
      </c>
      <c r="E27" s="280">
        <f>(+C27-D27)/D27</f>
        <v>-0.0373709210853819</v>
      </c>
      <c r="F27" s="41">
        <f>SUM(F24:F26)</f>
        <v>458980</v>
      </c>
      <c r="G27" s="41">
        <f>SUM(G24:G26)</f>
        <v>466366</v>
      </c>
      <c r="H27" s="42">
        <f>(+F27-G27)/G27</f>
        <v>-0.015837346633330904</v>
      </c>
      <c r="I27" s="43">
        <f>K27/C27</f>
        <v>44.097861687149084</v>
      </c>
      <c r="J27" s="43">
        <f>K27/F27</f>
        <v>88.43630258399058</v>
      </c>
      <c r="K27" s="41">
        <f>SUM(K24:K26)</f>
        <v>40590494.16</v>
      </c>
      <c r="L27" s="41">
        <f>SUM(L24:L26)</f>
        <v>40993729.230000004</v>
      </c>
      <c r="M27" s="44">
        <f>(+K27-L27)/L27</f>
        <v>-0.009836506157749428</v>
      </c>
      <c r="N27" s="10"/>
      <c r="R27" s="2"/>
    </row>
    <row r="28" spans="1:18" ht="15.75" thickTop="1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19" t="s">
        <v>16</v>
      </c>
      <c r="B29" s="20">
        <f>DATE(2018,7,1)</f>
        <v>43282</v>
      </c>
      <c r="C29" s="21">
        <v>289167</v>
      </c>
      <c r="D29" s="21">
        <v>332127</v>
      </c>
      <c r="E29" s="23">
        <f>(+C29-D29)/D29</f>
        <v>-0.12934811081303235</v>
      </c>
      <c r="F29" s="21">
        <f>+C29-134357</f>
        <v>154810</v>
      </c>
      <c r="G29" s="21">
        <f>+D29-153372</f>
        <v>178755</v>
      </c>
      <c r="H29" s="23">
        <f>(+F29-G29)/G29</f>
        <v>-0.13395429498475567</v>
      </c>
      <c r="I29" s="24">
        <f>K29/C29</f>
        <v>51.510231907513656</v>
      </c>
      <c r="J29" s="24">
        <f>K29/F29</f>
        <v>96.21509740972806</v>
      </c>
      <c r="K29" s="21">
        <v>14895059.23</v>
      </c>
      <c r="L29" s="21">
        <v>16977556.68</v>
      </c>
      <c r="M29" s="25">
        <f>(+K29-L29)/L29</f>
        <v>-0.12266178751464485</v>
      </c>
      <c r="N29" s="10"/>
      <c r="R29" s="2"/>
    </row>
    <row r="30" spans="1:18" ht="15.75">
      <c r="A30" s="19"/>
      <c r="B30" s="20">
        <f>DATE(2018,8,1)</f>
        <v>43313</v>
      </c>
      <c r="C30" s="21">
        <v>292132</v>
      </c>
      <c r="D30" s="21">
        <v>318460</v>
      </c>
      <c r="E30" s="23">
        <f>(+C30-D30)/D30</f>
        <v>-0.08267286315392829</v>
      </c>
      <c r="F30" s="21">
        <f>+C30-136807</f>
        <v>155325</v>
      </c>
      <c r="G30" s="21">
        <f>+D30-146549</f>
        <v>171911</v>
      </c>
      <c r="H30" s="23">
        <f>(+F30-G30)/G30</f>
        <v>-0.09648015542926282</v>
      </c>
      <c r="I30" s="24">
        <f>K30/C30</f>
        <v>49.94121749756959</v>
      </c>
      <c r="J30" s="24">
        <f>K30/F30</f>
        <v>93.92839369064863</v>
      </c>
      <c r="K30" s="21">
        <v>14589427.75</v>
      </c>
      <c r="L30" s="21">
        <v>15578003.46</v>
      </c>
      <c r="M30" s="25">
        <f>(+K30-L30)/L30</f>
        <v>-0.06345971821988547</v>
      </c>
      <c r="N30" s="10"/>
      <c r="R30" s="2"/>
    </row>
    <row r="31" spans="1:18" ht="15.75" thickBot="1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Bot="1" thickTop="1">
      <c r="A32" s="39" t="s">
        <v>14</v>
      </c>
      <c r="B32" s="40"/>
      <c r="C32" s="41">
        <f>SUM(C29:C31)</f>
        <v>581299</v>
      </c>
      <c r="D32" s="41">
        <f>SUM(D29:D31)</f>
        <v>650587</v>
      </c>
      <c r="E32" s="281">
        <f>(+C32-D32)/D32</f>
        <v>-0.10650074471208308</v>
      </c>
      <c r="F32" s="47">
        <f>SUM(F29:F31)</f>
        <v>310135</v>
      </c>
      <c r="G32" s="48">
        <f>SUM(G29:G31)</f>
        <v>350666</v>
      </c>
      <c r="H32" s="49">
        <f>(+F32-G32)/G32</f>
        <v>-0.11558291935916228</v>
      </c>
      <c r="I32" s="50">
        <f>K32/C32</f>
        <v>50.72172320957029</v>
      </c>
      <c r="J32" s="51">
        <f>K32/F32</f>
        <v>95.06984693762394</v>
      </c>
      <c r="K32" s="48">
        <f>SUM(K29:K31)</f>
        <v>29484486.98</v>
      </c>
      <c r="L32" s="47">
        <f>SUM(L29:L31)</f>
        <v>32555560.14</v>
      </c>
      <c r="M32" s="44">
        <f>(+K32-L32)/L32</f>
        <v>-0.09433329197204224</v>
      </c>
      <c r="N32" s="10"/>
      <c r="R32" s="2"/>
    </row>
    <row r="33" spans="1:18" ht="15.75" customHeight="1" thickTop="1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>
      <c r="A34" s="274" t="s">
        <v>66</v>
      </c>
      <c r="B34" s="20">
        <f>DATE(2018,7,1)</f>
        <v>43282</v>
      </c>
      <c r="C34" s="21">
        <v>129160</v>
      </c>
      <c r="D34" s="21">
        <v>155680</v>
      </c>
      <c r="E34" s="23">
        <f>(+C34-D34)/D34</f>
        <v>-0.17034943473792394</v>
      </c>
      <c r="F34" s="21">
        <f>+C34-62596</f>
        <v>66564</v>
      </c>
      <c r="G34" s="21">
        <f>+D34-76075</f>
        <v>79605</v>
      </c>
      <c r="H34" s="23">
        <f>(+F34-G34)/G34</f>
        <v>-0.16382136800452232</v>
      </c>
      <c r="I34" s="24">
        <f>K34/C34</f>
        <v>40.40641491173738</v>
      </c>
      <c r="J34" s="24">
        <f>K34/F34</f>
        <v>78.40413061114116</v>
      </c>
      <c r="K34" s="21">
        <v>5218892.55</v>
      </c>
      <c r="L34" s="21">
        <v>5695517.98</v>
      </c>
      <c r="M34" s="25">
        <f>(+K34-L34)/L34</f>
        <v>-0.0836842990705475</v>
      </c>
      <c r="N34" s="10"/>
      <c r="R34" s="2"/>
    </row>
    <row r="35" spans="1:18" ht="15.75">
      <c r="A35" s="274"/>
      <c r="B35" s="20">
        <f>DATE(2018,8,1)</f>
        <v>43313</v>
      </c>
      <c r="C35" s="21">
        <v>120860</v>
      </c>
      <c r="D35" s="21">
        <v>137297</v>
      </c>
      <c r="E35" s="23">
        <f>(+C35-D35)/D35</f>
        <v>-0.11971856631973021</v>
      </c>
      <c r="F35" s="21">
        <f>+C35-58336</f>
        <v>62524</v>
      </c>
      <c r="G35" s="21">
        <f>+D35-65122</f>
        <v>72175</v>
      </c>
      <c r="H35" s="23">
        <f>(+F35-G35)/G35</f>
        <v>-0.13371666089366124</v>
      </c>
      <c r="I35" s="24">
        <f>K35/C35</f>
        <v>43.54834246235313</v>
      </c>
      <c r="J35" s="24">
        <f>K35/F35</f>
        <v>84.17971770839998</v>
      </c>
      <c r="K35" s="21">
        <v>5263252.67</v>
      </c>
      <c r="L35" s="21">
        <v>5143794.97</v>
      </c>
      <c r="M35" s="25">
        <f>(+K35-L35)/L35</f>
        <v>0.023223651155753627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52"/>
      <c r="C37" s="47">
        <f>SUM(C34:C36)</f>
        <v>250020</v>
      </c>
      <c r="D37" s="48">
        <f>SUM(D34:D36)</f>
        <v>292977</v>
      </c>
      <c r="E37" s="281">
        <f>(+C37-D37)/D37</f>
        <v>-0.14662243111233988</v>
      </c>
      <c r="F37" s="48">
        <f>SUM(F34:F36)</f>
        <v>129088</v>
      </c>
      <c r="G37" s="47">
        <f>SUM(G34:G36)</f>
        <v>151780</v>
      </c>
      <c r="H37" s="46">
        <f>(+F37-G37)/G37</f>
        <v>-0.14950586375016472</v>
      </c>
      <c r="I37" s="51">
        <f>K37/C37</f>
        <v>41.925226861851044</v>
      </c>
      <c r="J37" s="50">
        <f>K37/F37</f>
        <v>81.20154638696083</v>
      </c>
      <c r="K37" s="47">
        <f>SUM(K34:K36)</f>
        <v>10482145.219999999</v>
      </c>
      <c r="L37" s="48">
        <f>SUM(L34:L36)</f>
        <v>10839312.95</v>
      </c>
      <c r="M37" s="44">
        <f>(+K37-L37)/L37</f>
        <v>-0.03295114105917576</v>
      </c>
      <c r="N37" s="10"/>
      <c r="R37" s="2"/>
    </row>
    <row r="38" spans="1:18" ht="15.75" customHeight="1" thickTop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19" t="s">
        <v>17</v>
      </c>
      <c r="B39" s="20">
        <f>DATE(2018,7,1)</f>
        <v>43282</v>
      </c>
      <c r="C39" s="21">
        <v>164240</v>
      </c>
      <c r="D39" s="21">
        <v>176619</v>
      </c>
      <c r="E39" s="23">
        <f>(+C39-D39)/D39</f>
        <v>-0.07008872205142141</v>
      </c>
      <c r="F39" s="21">
        <f>+C39-78084</f>
        <v>86156</v>
      </c>
      <c r="G39" s="21">
        <f>+D39-82680</f>
        <v>93939</v>
      </c>
      <c r="H39" s="23">
        <f>(+F39-G39)/G39</f>
        <v>-0.08285163776493257</v>
      </c>
      <c r="I39" s="24">
        <f>K39/C39</f>
        <v>35.1700548587433</v>
      </c>
      <c r="J39" s="24">
        <f>K39/F39</f>
        <v>67.04500916941362</v>
      </c>
      <c r="K39" s="21">
        <v>5776329.81</v>
      </c>
      <c r="L39" s="21">
        <v>6184772.92</v>
      </c>
      <c r="M39" s="25">
        <f>(+K39-L39)/L39</f>
        <v>-0.0660401142100461</v>
      </c>
      <c r="N39" s="10"/>
      <c r="R39" s="2"/>
    </row>
    <row r="40" spans="1:18" ht="15.75">
      <c r="A40" s="19"/>
      <c r="B40" s="20">
        <f>DATE(2018,8,1)</f>
        <v>43313</v>
      </c>
      <c r="C40" s="21">
        <v>161125</v>
      </c>
      <c r="D40" s="21">
        <v>166602</v>
      </c>
      <c r="E40" s="23">
        <f>(+C40-D40)/D40</f>
        <v>-0.03287475540509718</v>
      </c>
      <c r="F40" s="21">
        <f>+C40-76425</f>
        <v>84700</v>
      </c>
      <c r="G40" s="21">
        <f>+D40-77233</f>
        <v>89369</v>
      </c>
      <c r="H40" s="23">
        <f>(+F40-G40)/G40</f>
        <v>-0.05224406673455001</v>
      </c>
      <c r="I40" s="24">
        <f>K40/C40</f>
        <v>34.524392986811485</v>
      </c>
      <c r="J40" s="24">
        <f>K40/F40</f>
        <v>65.67583022432113</v>
      </c>
      <c r="K40" s="21">
        <v>5562742.82</v>
      </c>
      <c r="L40" s="21">
        <v>5912368.33</v>
      </c>
      <c r="M40" s="25">
        <f>(+K40-L40)/L40</f>
        <v>-0.05913459556062533</v>
      </c>
      <c r="N40" s="10"/>
      <c r="R40" s="2"/>
    </row>
    <row r="41" spans="1:18" ht="15.75" customHeight="1" thickBot="1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customHeight="1" thickBot="1" thickTop="1">
      <c r="A42" s="39" t="s">
        <v>14</v>
      </c>
      <c r="B42" s="52"/>
      <c r="C42" s="47">
        <f>SUM(C39:C41)</f>
        <v>325365</v>
      </c>
      <c r="D42" s="48">
        <f>SUM(D39:D41)</f>
        <v>343221</v>
      </c>
      <c r="E42" s="281">
        <f>(+C42-D42)/D42</f>
        <v>-0.052024788692999556</v>
      </c>
      <c r="F42" s="48">
        <f>SUM(F39:F41)</f>
        <v>170856</v>
      </c>
      <c r="G42" s="47">
        <f>SUM(G39:G41)</f>
        <v>183308</v>
      </c>
      <c r="H42" s="53">
        <f>(+F42-G42)/G42</f>
        <v>-0.06792938660614921</v>
      </c>
      <c r="I42" s="51">
        <f>K42/C42</f>
        <v>34.850314661994986</v>
      </c>
      <c r="J42" s="50">
        <f>K42/F42</f>
        <v>66.36625362878681</v>
      </c>
      <c r="K42" s="47">
        <f>SUM(K39:K41)</f>
        <v>11339072.629999999</v>
      </c>
      <c r="L42" s="48">
        <f>SUM(L39:L41)</f>
        <v>12097141.25</v>
      </c>
      <c r="M42" s="44">
        <f>(+K42-L42)/L42</f>
        <v>-0.06266510445184734</v>
      </c>
      <c r="N42" s="10"/>
      <c r="R42" s="2"/>
    </row>
    <row r="43" spans="1:18" ht="15.75" customHeight="1" thickTop="1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>
      <c r="A44" s="19" t="s">
        <v>67</v>
      </c>
      <c r="B44" s="20">
        <f>DATE(2018,7,1)</f>
        <v>43282</v>
      </c>
      <c r="C44" s="21">
        <v>388301</v>
      </c>
      <c r="D44" s="21">
        <v>366754</v>
      </c>
      <c r="E44" s="23">
        <f>(+C44-D44)/D44</f>
        <v>0.05875055214121727</v>
      </c>
      <c r="F44" s="21">
        <f>+C44-165452</f>
        <v>222849</v>
      </c>
      <c r="G44" s="21">
        <f>+D44-155073</f>
        <v>211681</v>
      </c>
      <c r="H44" s="23">
        <f>(+F44-G44)/G44</f>
        <v>0.052758632092629945</v>
      </c>
      <c r="I44" s="24">
        <f>K44/C44</f>
        <v>34.577033641427654</v>
      </c>
      <c r="J44" s="24">
        <f>K44/F44</f>
        <v>60.24840470453087</v>
      </c>
      <c r="K44" s="21">
        <v>13426296.74</v>
      </c>
      <c r="L44" s="21">
        <v>12531234.06</v>
      </c>
      <c r="M44" s="25">
        <f>(+K44-L44)/L44</f>
        <v>0.07142653913528446</v>
      </c>
      <c r="N44" s="10"/>
      <c r="R44" s="2"/>
    </row>
    <row r="45" spans="1:18" ht="15.75" customHeight="1">
      <c r="A45" s="19"/>
      <c r="B45" s="20">
        <f>DATE(2018,8,1)</f>
        <v>43313</v>
      </c>
      <c r="C45" s="21">
        <v>375009</v>
      </c>
      <c r="D45" s="21">
        <v>332593</v>
      </c>
      <c r="E45" s="23">
        <f>(+C45-D45)/D45</f>
        <v>0.1275312468993635</v>
      </c>
      <c r="F45" s="21">
        <f>+C45-161682</f>
        <v>213327</v>
      </c>
      <c r="G45" s="21">
        <f>+D45-143450</f>
        <v>189143</v>
      </c>
      <c r="H45" s="23">
        <f>(+F45-G45)/G45</f>
        <v>0.12786093061863246</v>
      </c>
      <c r="I45" s="24">
        <f>K45/C45</f>
        <v>37.35007442488047</v>
      </c>
      <c r="J45" s="24">
        <f>K45/F45</f>
        <v>65.65795262671861</v>
      </c>
      <c r="K45" s="21">
        <v>14006614.06</v>
      </c>
      <c r="L45" s="21">
        <v>12416943.71</v>
      </c>
      <c r="M45" s="25">
        <f>(+K45-L45)/L45</f>
        <v>0.12802428577651975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SUM(C44:C46)</f>
        <v>763310</v>
      </c>
      <c r="D47" s="41">
        <f>SUM(D44:D46)</f>
        <v>699347</v>
      </c>
      <c r="E47" s="280">
        <f>(+C47-D47)/D47</f>
        <v>0.09146103436491469</v>
      </c>
      <c r="F47" s="41">
        <f>SUM(F44:F46)</f>
        <v>436176</v>
      </c>
      <c r="G47" s="41">
        <f>SUM(G44:G46)</f>
        <v>400824</v>
      </c>
      <c r="H47" s="42">
        <f>(+F47-G47)/G47</f>
        <v>0.0881983114783546</v>
      </c>
      <c r="I47" s="43">
        <f>K47/C47</f>
        <v>35.939409676278316</v>
      </c>
      <c r="J47" s="43">
        <f>K47/F47</f>
        <v>62.894131726642456</v>
      </c>
      <c r="K47" s="41">
        <f>SUM(K44:K46)</f>
        <v>27432910.8</v>
      </c>
      <c r="L47" s="41">
        <f>SUM(L44:L46)</f>
        <v>24948177.770000003</v>
      </c>
      <c r="M47" s="44">
        <f>(+K47-L47)/L47</f>
        <v>0.09959577220056008</v>
      </c>
      <c r="N47" s="10"/>
      <c r="R47" s="2"/>
    </row>
    <row r="48" spans="1:18" ht="15.75" customHeight="1" thickTop="1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>
      <c r="A49" s="19" t="s">
        <v>18</v>
      </c>
      <c r="B49" s="20">
        <f>DATE(2018,7,1)</f>
        <v>43282</v>
      </c>
      <c r="C49" s="21">
        <v>413730</v>
      </c>
      <c r="D49" s="21">
        <v>402324</v>
      </c>
      <c r="E49" s="23">
        <f>(+C49-D49)/D49</f>
        <v>0.02835028484505026</v>
      </c>
      <c r="F49" s="21">
        <f>+C49-202461</f>
        <v>211269</v>
      </c>
      <c r="G49" s="21">
        <f>+D49-196212</f>
        <v>206112</v>
      </c>
      <c r="H49" s="23">
        <f>(+F49-G49)/G49</f>
        <v>0.025020377270610152</v>
      </c>
      <c r="I49" s="24">
        <f>K49/C49</f>
        <v>42.61081449254345</v>
      </c>
      <c r="J49" s="24">
        <f>K49/F49</f>
        <v>83.44514472071151</v>
      </c>
      <c r="K49" s="21">
        <v>17629372.28</v>
      </c>
      <c r="L49" s="21">
        <v>16341217.17</v>
      </c>
      <c r="M49" s="25">
        <f>(+K49-L49)/L49</f>
        <v>0.07882859009822468</v>
      </c>
      <c r="N49" s="10"/>
      <c r="R49" s="2"/>
    </row>
    <row r="50" spans="1:18" ht="15.75" customHeight="1">
      <c r="A50" s="19"/>
      <c r="B50" s="20">
        <f>DATE(2018,8,1)</f>
        <v>43313</v>
      </c>
      <c r="C50" s="21">
        <v>405834</v>
      </c>
      <c r="D50" s="21">
        <v>379939</v>
      </c>
      <c r="E50" s="23">
        <f>(+C50-D50)/D50</f>
        <v>0.06815567762193404</v>
      </c>
      <c r="F50" s="21">
        <f>+C50-195636</f>
        <v>210198</v>
      </c>
      <c r="G50" s="21">
        <f>+D50-185707</f>
        <v>194232</v>
      </c>
      <c r="H50" s="23">
        <f>(+F50-G50)/G50</f>
        <v>0.08220066724329668</v>
      </c>
      <c r="I50" s="24">
        <f>K50/C50</f>
        <v>43.859896460129015</v>
      </c>
      <c r="J50" s="24">
        <f>K50/F50</f>
        <v>84.68128726248584</v>
      </c>
      <c r="K50" s="21">
        <v>17799837.22</v>
      </c>
      <c r="L50" s="21">
        <v>15315276.05</v>
      </c>
      <c r="M50" s="25">
        <f>(+K50-L50)/L50</f>
        <v>0.1622276452535766</v>
      </c>
      <c r="N50" s="10"/>
      <c r="R50" s="2"/>
    </row>
    <row r="51" spans="1:18" ht="15.75" customHeight="1" thickBot="1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Bot="1" thickTop="1">
      <c r="A52" s="39" t="s">
        <v>14</v>
      </c>
      <c r="B52" s="40"/>
      <c r="C52" s="41">
        <f>SUM(C49:C51)</f>
        <v>819564</v>
      </c>
      <c r="D52" s="41">
        <f>SUM(D49:D51)</f>
        <v>782263</v>
      </c>
      <c r="E52" s="280">
        <f>(+C52-D52)/D52</f>
        <v>0.047683451729149916</v>
      </c>
      <c r="F52" s="41">
        <f>SUM(F49:F51)</f>
        <v>421467</v>
      </c>
      <c r="G52" s="41">
        <f>SUM(G49:G51)</f>
        <v>400344</v>
      </c>
      <c r="H52" s="42">
        <f>(+F52-G52)/G52</f>
        <v>0.05276212457286734</v>
      </c>
      <c r="I52" s="43">
        <f>K52/C52</f>
        <v>43.2293384043223</v>
      </c>
      <c r="J52" s="43">
        <f>K52/F52</f>
        <v>84.06164539572494</v>
      </c>
      <c r="K52" s="41">
        <f>SUM(K49:K51)</f>
        <v>35429209.5</v>
      </c>
      <c r="L52" s="41">
        <f>SUM(L49:L51)</f>
        <v>31656493.22</v>
      </c>
      <c r="M52" s="44">
        <f>(+K52-L52)/L52</f>
        <v>0.11917669635044943</v>
      </c>
      <c r="N52" s="10"/>
      <c r="R52" s="2"/>
    </row>
    <row r="53" spans="1:18" ht="15.75" customHeight="1" thickTop="1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>
      <c r="A54" s="19" t="s">
        <v>58</v>
      </c>
      <c r="B54" s="20">
        <f>DATE(2018,7,1)</f>
        <v>43282</v>
      </c>
      <c r="C54" s="21">
        <v>437213</v>
      </c>
      <c r="D54" s="21">
        <v>487621</v>
      </c>
      <c r="E54" s="23">
        <f>(+C54-D54)/D54</f>
        <v>-0.1033753673447206</v>
      </c>
      <c r="F54" s="21">
        <f>+C54-202829</f>
        <v>234384</v>
      </c>
      <c r="G54" s="21">
        <f>+D54-237847</f>
        <v>249774</v>
      </c>
      <c r="H54" s="23">
        <f>(+F54-G54)/G54</f>
        <v>-0.061615700593336376</v>
      </c>
      <c r="I54" s="24">
        <f>K54/C54</f>
        <v>44.80050348457159</v>
      </c>
      <c r="J54" s="24">
        <f>K54/F54</f>
        <v>83.56953772441805</v>
      </c>
      <c r="K54" s="21">
        <v>19587362.53</v>
      </c>
      <c r="L54" s="21">
        <v>19804673.68</v>
      </c>
      <c r="M54" s="25">
        <f>(+K54-L54)/L54</f>
        <v>-0.010972720556332768</v>
      </c>
      <c r="N54" s="10"/>
      <c r="R54" s="2"/>
    </row>
    <row r="55" spans="1:18" ht="15.75" customHeight="1">
      <c r="A55" s="19"/>
      <c r="B55" s="20">
        <f>DATE(2018,8,1)</f>
        <v>43313</v>
      </c>
      <c r="C55" s="21">
        <v>428434</v>
      </c>
      <c r="D55" s="21">
        <v>450476</v>
      </c>
      <c r="E55" s="23">
        <f>(+C55-D55)/D55</f>
        <v>-0.04893046466404426</v>
      </c>
      <c r="F55" s="21">
        <f>+C55-198491</f>
        <v>229943</v>
      </c>
      <c r="G55" s="21">
        <f>+D55-212152</f>
        <v>238324</v>
      </c>
      <c r="H55" s="23">
        <f>(+F55-G55)/G55</f>
        <v>-0.035166412111243515</v>
      </c>
      <c r="I55" s="24">
        <f>K55/C55</f>
        <v>44.51797116942166</v>
      </c>
      <c r="J55" s="24">
        <f>K55/F55</f>
        <v>82.94669748589868</v>
      </c>
      <c r="K55" s="21">
        <v>19073012.46</v>
      </c>
      <c r="L55" s="21">
        <v>18591700.17</v>
      </c>
      <c r="M55" s="25">
        <f>(+K55-L55)/L55</f>
        <v>0.025888557022700688</v>
      </c>
      <c r="N55" s="10"/>
      <c r="R55" s="2"/>
    </row>
    <row r="56" spans="1:18" ht="15.75" customHeight="1" thickBot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SUM(C54:C56)</f>
        <v>865647</v>
      </c>
      <c r="D57" s="41">
        <f>SUM(D54:D56)</f>
        <v>938097</v>
      </c>
      <c r="E57" s="280">
        <f>(+C57-D57)/D57</f>
        <v>-0.07723081941419704</v>
      </c>
      <c r="F57" s="41">
        <f>SUM(F54:F56)</f>
        <v>464327</v>
      </c>
      <c r="G57" s="41">
        <f>SUM(G54:G56)</f>
        <v>488098</v>
      </c>
      <c r="H57" s="42">
        <f>(+F57-G57)/G57</f>
        <v>-0.04870128539760458</v>
      </c>
      <c r="I57" s="43">
        <f>K57/C57</f>
        <v>44.66066998441628</v>
      </c>
      <c r="J57" s="43">
        <f>K57/F57</f>
        <v>83.26109614560428</v>
      </c>
      <c r="K57" s="41">
        <f>SUM(K54:K56)</f>
        <v>38660374.99</v>
      </c>
      <c r="L57" s="41">
        <f>SUM(L54:L56)</f>
        <v>38396373.85</v>
      </c>
      <c r="M57" s="44">
        <f>(+K57-L57)/L57</f>
        <v>0.0068756789646687065</v>
      </c>
      <c r="N57" s="10"/>
      <c r="R57" s="2"/>
    </row>
    <row r="58" spans="1:18" ht="15.75" customHeight="1" thickTop="1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>
      <c r="A59" s="19" t="s">
        <v>59</v>
      </c>
      <c r="B59" s="20">
        <f>DATE(2018,7,1)</f>
        <v>43282</v>
      </c>
      <c r="C59" s="21">
        <v>63934</v>
      </c>
      <c r="D59" s="21">
        <v>62927</v>
      </c>
      <c r="E59" s="23">
        <f>(+C59-D59)/D59</f>
        <v>0.016002669760198325</v>
      </c>
      <c r="F59" s="21">
        <f>+C59-30110</f>
        <v>33824</v>
      </c>
      <c r="G59" s="21">
        <f>+D59-30201</f>
        <v>32726</v>
      </c>
      <c r="H59" s="23">
        <f>(+F59-G59)/G59</f>
        <v>0.03355130477296339</v>
      </c>
      <c r="I59" s="24">
        <f>K59/C59</f>
        <v>44.104667156755404</v>
      </c>
      <c r="J59" s="24">
        <f>K59/F59</f>
        <v>83.36647912724693</v>
      </c>
      <c r="K59" s="21">
        <v>2819787.79</v>
      </c>
      <c r="L59" s="21">
        <v>2929610.63</v>
      </c>
      <c r="M59" s="25">
        <f>(+K59-L59)/L59</f>
        <v>-0.03748717965294926</v>
      </c>
      <c r="N59" s="10"/>
      <c r="R59" s="2"/>
    </row>
    <row r="60" spans="1:18" ht="15" customHeight="1">
      <c r="A60" s="19"/>
      <c r="B60" s="20">
        <f>DATE(2018,8,1)</f>
        <v>43313</v>
      </c>
      <c r="C60" s="21">
        <v>61004</v>
      </c>
      <c r="D60" s="21">
        <v>58528</v>
      </c>
      <c r="E60" s="23">
        <f>(+C60-D60)/D60</f>
        <v>0.04230453799890651</v>
      </c>
      <c r="F60" s="21">
        <f>+C60-29259</f>
        <v>31745</v>
      </c>
      <c r="G60" s="21">
        <f>+D60-27538</f>
        <v>30990</v>
      </c>
      <c r="H60" s="23">
        <f>(+F60-G60)/G60</f>
        <v>0.02436269764440142</v>
      </c>
      <c r="I60" s="24">
        <f>K60/C60</f>
        <v>45.56410415710445</v>
      </c>
      <c r="J60" s="24">
        <f>K60/F60</f>
        <v>87.56001291541975</v>
      </c>
      <c r="K60" s="21">
        <v>2779592.61</v>
      </c>
      <c r="L60" s="21">
        <v>2672799.76</v>
      </c>
      <c r="M60" s="25">
        <f>(+K60-L60)/L60</f>
        <v>0.03995542486879006</v>
      </c>
      <c r="N60" s="10"/>
      <c r="R60" s="2"/>
    </row>
    <row r="61" spans="1:18" ht="15.7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Bot="1" thickTop="1">
      <c r="A62" s="62" t="s">
        <v>14</v>
      </c>
      <c r="B62" s="52"/>
      <c r="C62" s="48">
        <f>SUM(C59:C61)</f>
        <v>124938</v>
      </c>
      <c r="D62" s="48">
        <f>SUM(D59:D61)</f>
        <v>121455</v>
      </c>
      <c r="E62" s="280">
        <f>(+C62-D62)/D62</f>
        <v>0.02867728788440163</v>
      </c>
      <c r="F62" s="48">
        <f>SUM(F59:F61)</f>
        <v>65569</v>
      </c>
      <c r="G62" s="48">
        <f>SUM(G59:G61)</f>
        <v>63716</v>
      </c>
      <c r="H62" s="42">
        <f>(+F62-G62)/G62</f>
        <v>0.029082177161152616</v>
      </c>
      <c r="I62" s="50">
        <f>K62/C62</f>
        <v>44.81727256719333</v>
      </c>
      <c r="J62" s="50">
        <f>K62/F62</f>
        <v>85.39676371456024</v>
      </c>
      <c r="K62" s="48">
        <f>SUM(K59:K61)</f>
        <v>5599380.4</v>
      </c>
      <c r="L62" s="48">
        <f>SUM(L59:L61)</f>
        <v>5602410.39</v>
      </c>
      <c r="M62" s="44">
        <f>(+K62-L62)/L62</f>
        <v>-0.0005408368521891329</v>
      </c>
      <c r="N62" s="10"/>
      <c r="R62" s="2"/>
    </row>
    <row r="63" spans="1:18" ht="15.75" customHeight="1" thickTop="1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>
      <c r="A64" s="19" t="s">
        <v>19</v>
      </c>
      <c r="B64" s="20">
        <f>DATE(2018,7,1)</f>
        <v>43282</v>
      </c>
      <c r="C64" s="21">
        <v>470354</v>
      </c>
      <c r="D64" s="21">
        <v>504566</v>
      </c>
      <c r="E64" s="23">
        <f>(+C64-D64)/D64</f>
        <v>-0.06780480650697827</v>
      </c>
      <c r="F64" s="21">
        <f>+C64-224841</f>
        <v>245513</v>
      </c>
      <c r="G64" s="21">
        <f>+D64-244721</f>
        <v>259845</v>
      </c>
      <c r="H64" s="23">
        <f>(+F64-G64)/G64</f>
        <v>-0.05515595835979142</v>
      </c>
      <c r="I64" s="24">
        <f>K64/C64</f>
        <v>49.73283054890572</v>
      </c>
      <c r="J64" s="24">
        <f>K64/F64</f>
        <v>95.27819618513072</v>
      </c>
      <c r="K64" s="21">
        <v>23392035.78</v>
      </c>
      <c r="L64" s="21">
        <v>23735238.92</v>
      </c>
      <c r="M64" s="25">
        <f>(+K64-L64)/L64</f>
        <v>-0.014459645472993644</v>
      </c>
      <c r="N64" s="10"/>
      <c r="R64" s="2"/>
    </row>
    <row r="65" spans="1:18" ht="15.75">
      <c r="A65" s="19"/>
      <c r="B65" s="20">
        <f>DATE(2018,8,1)</f>
        <v>43313</v>
      </c>
      <c r="C65" s="21">
        <v>474935</v>
      </c>
      <c r="D65" s="21">
        <v>457218</v>
      </c>
      <c r="E65" s="23">
        <f>(+C65-D65)/D65</f>
        <v>0.03874956803975346</v>
      </c>
      <c r="F65" s="21">
        <f>+C65-232414</f>
        <v>242521</v>
      </c>
      <c r="G65" s="21">
        <f>+D65-220228</f>
        <v>236990</v>
      </c>
      <c r="H65" s="23">
        <f>(+F65-G65)/G65</f>
        <v>0.023338537491033377</v>
      </c>
      <c r="I65" s="24">
        <f>K65/C65</f>
        <v>50.253279522460964</v>
      </c>
      <c r="J65" s="24">
        <f>K65/F65</f>
        <v>98.41226660784014</v>
      </c>
      <c r="K65" s="21">
        <v>23867041.31</v>
      </c>
      <c r="L65" s="21">
        <v>21406025.88</v>
      </c>
      <c r="M65" s="25">
        <f>(+K65-L65)/L65</f>
        <v>0.11496834787532266</v>
      </c>
      <c r="N65" s="10"/>
      <c r="R65" s="2"/>
    </row>
    <row r="66" spans="1:18" ht="15.7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SUM(C64:C66)</f>
        <v>945289</v>
      </c>
      <c r="D67" s="41">
        <f>SUM(D64:D66)</f>
        <v>961784</v>
      </c>
      <c r="E67" s="280">
        <f>(+C67-D67)/D67</f>
        <v>-0.01715042046862913</v>
      </c>
      <c r="F67" s="41">
        <f>SUM(F64:F66)</f>
        <v>488034</v>
      </c>
      <c r="G67" s="41">
        <f>SUM(G64:G66)</f>
        <v>496835</v>
      </c>
      <c r="H67" s="42">
        <f>(+F67-G67)/G67</f>
        <v>-0.017714130445721416</v>
      </c>
      <c r="I67" s="43">
        <f>K67/C67</f>
        <v>49.994316119197414</v>
      </c>
      <c r="J67" s="43">
        <f>K67/F67</f>
        <v>96.8356243417467</v>
      </c>
      <c r="K67" s="41">
        <f>SUM(K64:K66)</f>
        <v>47259077.09</v>
      </c>
      <c r="L67" s="41">
        <f>SUM(L64:L66)</f>
        <v>45141264.8</v>
      </c>
      <c r="M67" s="44">
        <f>(+K67-L67)/L67</f>
        <v>0.04691521824616679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63</v>
      </c>
      <c r="B69" s="20">
        <f>DATE(2018,7,1)</f>
        <v>43282</v>
      </c>
      <c r="C69" s="21">
        <v>83462</v>
      </c>
      <c r="D69" s="21">
        <v>79906</v>
      </c>
      <c r="E69" s="23">
        <f>(+C69-D69)/D69</f>
        <v>0.044502290190974396</v>
      </c>
      <c r="F69" s="21">
        <f>+C69-37670</f>
        <v>45792</v>
      </c>
      <c r="G69" s="21">
        <f>+D69-36860</f>
        <v>43046</v>
      </c>
      <c r="H69" s="23">
        <f>(+F69-G69)/G69</f>
        <v>0.06379222227384658</v>
      </c>
      <c r="I69" s="24">
        <f>K69/C69</f>
        <v>43.09257506410103</v>
      </c>
      <c r="J69" s="24">
        <f>K69/F69</f>
        <v>78.5419396401118</v>
      </c>
      <c r="K69" s="21">
        <v>3596592.5</v>
      </c>
      <c r="L69" s="21">
        <v>3314806.15</v>
      </c>
      <c r="M69" s="25">
        <f>(+K69-L69)/L69</f>
        <v>0.08500839483479301</v>
      </c>
      <c r="N69" s="10"/>
      <c r="R69" s="2"/>
    </row>
    <row r="70" spans="1:18" ht="15.75">
      <c r="A70" s="19"/>
      <c r="B70" s="20">
        <f>DATE(2018,8,1)</f>
        <v>43313</v>
      </c>
      <c r="C70" s="21">
        <v>82775</v>
      </c>
      <c r="D70" s="21">
        <v>79783</v>
      </c>
      <c r="E70" s="23">
        <f>(+C70-D70)/D70</f>
        <v>0.03750172342478974</v>
      </c>
      <c r="F70" s="21">
        <f>+C70-37255</f>
        <v>45520</v>
      </c>
      <c r="G70" s="21">
        <f>+D70-35821</f>
        <v>43962</v>
      </c>
      <c r="H70" s="23">
        <f>(+F70-G70)/G70</f>
        <v>0.03543969792093171</v>
      </c>
      <c r="I70" s="24">
        <f>K70/C70</f>
        <v>43.96489386892178</v>
      </c>
      <c r="J70" s="24">
        <f>K70/F70</f>
        <v>79.94714608963093</v>
      </c>
      <c r="K70" s="21">
        <v>3639194.09</v>
      </c>
      <c r="L70" s="21">
        <v>3234719.93</v>
      </c>
      <c r="M70" s="25">
        <f>(+K70-L70)/L70</f>
        <v>0.12504147770221322</v>
      </c>
      <c r="N70" s="10"/>
      <c r="R70" s="2"/>
    </row>
    <row r="71" spans="1:18" ht="15.75" thickBot="1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26" t="s">
        <v>14</v>
      </c>
      <c r="B72" s="27"/>
      <c r="C72" s="28">
        <f>SUM(C69:C71)</f>
        <v>166237</v>
      </c>
      <c r="D72" s="28">
        <f>SUM(D69:D71)</f>
        <v>159689</v>
      </c>
      <c r="E72" s="280">
        <f>(+C72-D72)/D72</f>
        <v>0.04100470289124486</v>
      </c>
      <c r="F72" s="28">
        <f>SUM(F69:F71)</f>
        <v>91312</v>
      </c>
      <c r="G72" s="28">
        <f>SUM(G69:G71)</f>
        <v>87008</v>
      </c>
      <c r="H72" s="42">
        <f>(+F72-G72)/G72</f>
        <v>0.049466715704303055</v>
      </c>
      <c r="I72" s="43">
        <f>K72/C72</f>
        <v>43.52693197062026</v>
      </c>
      <c r="J72" s="43">
        <f>K72/F72</f>
        <v>79.24244995181355</v>
      </c>
      <c r="K72" s="28">
        <f>SUM(K69:K71)</f>
        <v>7235786.59</v>
      </c>
      <c r="L72" s="28">
        <f>SUM(L69:L71)</f>
        <v>6549526.08</v>
      </c>
      <c r="M72" s="44">
        <f>(+K72-L72)/L72</f>
        <v>0.10478017823237674</v>
      </c>
      <c r="N72" s="10"/>
      <c r="R72" s="2"/>
    </row>
    <row r="73" spans="1:18" ht="16.5" thickBot="1" thickTop="1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Bot="1" thickTop="1">
      <c r="A74" s="64" t="s">
        <v>20</v>
      </c>
      <c r="B74" s="65"/>
      <c r="C74" s="28">
        <f>C72+C67+C32+C42+C47+C22+C12+C52+C57+C27+C62+C17+C37</f>
        <v>6713772</v>
      </c>
      <c r="D74" s="28">
        <f>D72+D67+D32+D42+D47+D22+D12+D52+D57+D27+D62+D17+D37</f>
        <v>6912763</v>
      </c>
      <c r="E74" s="279">
        <f>(+C74-D74)/D74</f>
        <v>-0.028786029551425386</v>
      </c>
      <c r="F74" s="28">
        <f>F72+F67+F32+F42+F47+F22+F12+F52+F57+F27+F62+F17+F37</f>
        <v>3531387</v>
      </c>
      <c r="G74" s="28">
        <f>G72+G67+G32+G42+G47+G22+G12+G52+G57+G27+G62+G17+G37</f>
        <v>3609892</v>
      </c>
      <c r="H74" s="30">
        <f>(+F74-G74)/G74</f>
        <v>-0.021747188004516478</v>
      </c>
      <c r="I74" s="31">
        <f>K74/C74</f>
        <v>44.93881498805738</v>
      </c>
      <c r="J74" s="31">
        <f>K74/F74</f>
        <v>85.43639022854192</v>
      </c>
      <c r="K74" s="28">
        <f>K72+K67+K32+K42+K47+K22+K12+K52+K57+K27+K62+K17+K37</f>
        <v>301708957.78</v>
      </c>
      <c r="L74" s="28">
        <f>L72+L67+L32+L42+L47+L22+L12+L52+L57+L27+L62+L17+L37</f>
        <v>296459687.9499999</v>
      </c>
      <c r="M74" s="32">
        <f>(+K74-L74)/L74</f>
        <v>0.017706521471092456</v>
      </c>
      <c r="N74" s="10"/>
      <c r="R74" s="2"/>
    </row>
    <row r="75" spans="1:18" ht="17.25" thickBot="1" thickTop="1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Bot="1" thickTop="1">
      <c r="A76" s="64" t="s">
        <v>21</v>
      </c>
      <c r="B76" s="65"/>
      <c r="C76" s="28">
        <f>+C10+C15+C20+C25+C30+C35+C40+C45+C50+C55+C60+C65+C70</f>
        <v>3331476</v>
      </c>
      <c r="D76" s="28">
        <f>+D10+D15+D20+D25+D30+D35+D40+D45+D50+D55+D60+D65+D70</f>
        <v>3317135</v>
      </c>
      <c r="E76" s="279">
        <f>(+C76-D76)/D76</f>
        <v>0.004323309120671905</v>
      </c>
      <c r="F76" s="28">
        <f>+F10+F15+F20+F25+F30+F35+F40+F45+F50+F55+F60+F65+F70</f>
        <v>1750938</v>
      </c>
      <c r="G76" s="28">
        <f>+G10+G15+G20+G25+G30+G35+G40+G45+G50+G55+G60+G65+G70</f>
        <v>1740216</v>
      </c>
      <c r="H76" s="30">
        <f>(+F76-G76)/G76</f>
        <v>0.006161304113972059</v>
      </c>
      <c r="I76" s="31">
        <f>K76/C76</f>
        <v>45.376965330081916</v>
      </c>
      <c r="J76" s="31">
        <f>K76/F76</f>
        <v>86.33787772611022</v>
      </c>
      <c r="K76" s="28">
        <f>+K10+K15+K20+K25+K30+K35+K40+K45+K50+K55+K60+K65+K70</f>
        <v>151172270.95</v>
      </c>
      <c r="L76" s="28">
        <f>+L10+L15+L20+L25+L30+L35+L40+L45+L50+L55+L60+L65+L70</f>
        <v>142825447.64000002</v>
      </c>
      <c r="M76" s="44">
        <f>(+K76-L76)/L76</f>
        <v>0.05844072921121616</v>
      </c>
      <c r="N76" s="10"/>
      <c r="R76" s="2"/>
    </row>
    <row r="77" spans="1:18" ht="15.75" thickTop="1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>
      <c r="A78" s="264" t="s">
        <v>22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ht="15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ht="15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DATE(2018,7,1)</f>
        <v>43282</v>
      </c>
      <c r="B10" s="89">
        <f>'MONTHLY STATS'!$C$9*2</f>
        <v>522912</v>
      </c>
      <c r="C10" s="89">
        <f>'MONTHLY STATS'!$C$14*2</f>
        <v>284954</v>
      </c>
      <c r="D10" s="89">
        <f>'MONTHLY STATS'!$C$19*2</f>
        <v>145820</v>
      </c>
      <c r="E10" s="89">
        <f>'MONTHLY STATS'!$C$24*2</f>
        <v>931784</v>
      </c>
      <c r="F10" s="89">
        <f>'MONTHLY STATS'!$C$29*2</f>
        <v>578334</v>
      </c>
      <c r="G10" s="89">
        <f>'MONTHLY STATS'!$C$34*2</f>
        <v>258320</v>
      </c>
      <c r="H10" s="89">
        <f>'MONTHLY STATS'!$C$39*2</f>
        <v>328480</v>
      </c>
      <c r="I10" s="89">
        <f>'MONTHLY STATS'!$C$44*2</f>
        <v>776602</v>
      </c>
      <c r="J10" s="89">
        <f>'MONTHLY STATS'!$C$49*2</f>
        <v>827460</v>
      </c>
      <c r="K10" s="89">
        <f>'MONTHLY STATS'!$C$54*2</f>
        <v>874426</v>
      </c>
      <c r="L10" s="89">
        <f>'MONTHLY STATS'!$C$59*2</f>
        <v>127868</v>
      </c>
      <c r="M10" s="89">
        <f>'MONTHLY STATS'!$C$64*2</f>
        <v>940708</v>
      </c>
      <c r="N10" s="89">
        <f>'MONTHLY STATS'!$C$69*2</f>
        <v>166924</v>
      </c>
      <c r="O10" s="90">
        <f>SUM(B10:N10)</f>
        <v>6764592</v>
      </c>
      <c r="P10" s="83"/>
    </row>
    <row r="11" spans="1:16" ht="15.75">
      <c r="A11" s="88">
        <f>DATE(2018,8,1)</f>
        <v>43313</v>
      </c>
      <c r="B11" s="89">
        <f>'MONTHLY STATS'!$C$10*2</f>
        <v>532734</v>
      </c>
      <c r="C11" s="89">
        <f>'MONTHLY STATS'!$C$15*2</f>
        <v>275664</v>
      </c>
      <c r="D11" s="89">
        <f>'MONTHLY STATS'!$C$20*2</f>
        <v>141194</v>
      </c>
      <c r="E11" s="89">
        <f>'MONTHLY STATS'!$C$25*2</f>
        <v>909144</v>
      </c>
      <c r="F11" s="89">
        <f>'MONTHLY STATS'!$C$30*2</f>
        <v>584264</v>
      </c>
      <c r="G11" s="89">
        <f>'MONTHLY STATS'!$C$35*2</f>
        <v>241720</v>
      </c>
      <c r="H11" s="89">
        <f>'MONTHLY STATS'!$C$40*2</f>
        <v>322250</v>
      </c>
      <c r="I11" s="89">
        <f>'MONTHLY STATS'!$C$45*2</f>
        <v>750018</v>
      </c>
      <c r="J11" s="89">
        <f>'MONTHLY STATS'!$C$50*2</f>
        <v>811668</v>
      </c>
      <c r="K11" s="89">
        <f>'MONTHLY STATS'!$C$55*2</f>
        <v>856868</v>
      </c>
      <c r="L11" s="89">
        <f>'MONTHLY STATS'!$C$60*2</f>
        <v>122008</v>
      </c>
      <c r="M11" s="89">
        <f>'MONTHLY STATS'!$C$65*2</f>
        <v>949870</v>
      </c>
      <c r="N11" s="89">
        <f>'MONTHLY STATS'!$C$70*2</f>
        <v>165550</v>
      </c>
      <c r="O11" s="90">
        <f>SUM(B11:N11)</f>
        <v>6662952</v>
      </c>
      <c r="P11" s="83"/>
    </row>
    <row r="12" spans="1:16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1055646</v>
      </c>
      <c r="C23" s="90">
        <f t="shared" si="0"/>
        <v>560618</v>
      </c>
      <c r="D23" s="90">
        <f t="shared" si="0"/>
        <v>287014</v>
      </c>
      <c r="E23" s="90">
        <f t="shared" si="0"/>
        <v>1840928</v>
      </c>
      <c r="F23" s="90">
        <f t="shared" si="0"/>
        <v>1162598</v>
      </c>
      <c r="G23" s="90">
        <f>SUM(G10:G21)</f>
        <v>500040</v>
      </c>
      <c r="H23" s="90">
        <f t="shared" si="0"/>
        <v>650730</v>
      </c>
      <c r="I23" s="90">
        <f>SUM(I10:I21)</f>
        <v>1526620</v>
      </c>
      <c r="J23" s="90">
        <f t="shared" si="0"/>
        <v>1639128</v>
      </c>
      <c r="K23" s="90">
        <f>SUM(K10:K21)</f>
        <v>1731294</v>
      </c>
      <c r="L23" s="90">
        <f t="shared" si="0"/>
        <v>249876</v>
      </c>
      <c r="M23" s="90">
        <f t="shared" si="0"/>
        <v>1890578</v>
      </c>
      <c r="N23" s="90">
        <f t="shared" si="0"/>
        <v>332474</v>
      </c>
      <c r="O23" s="90">
        <f t="shared" si="0"/>
        <v>13427544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DATE(2018,7,1)</f>
        <v>43282</v>
      </c>
      <c r="B31" s="89">
        <f>'MONTHLY STATS'!$K$9*0.21</f>
        <v>2808760.5189</v>
      </c>
      <c r="C31" s="89">
        <f>'MONTHLY STATS'!$K$14*0.21</f>
        <v>1548718.5546</v>
      </c>
      <c r="D31" s="89">
        <f>'MONTHLY STATS'!$K$19*0.21</f>
        <v>685642.4085</v>
      </c>
      <c r="E31" s="89">
        <f>'MONTHLY STATS'!$K$24*0.21</f>
        <v>4237819.6182</v>
      </c>
      <c r="F31" s="89">
        <f>'MONTHLY STATS'!$K$29*0.21</f>
        <v>3127962.4383</v>
      </c>
      <c r="G31" s="89">
        <f>'MONTHLY STATS'!$K$34*0.21</f>
        <v>1095967.4355</v>
      </c>
      <c r="H31" s="89">
        <f>'MONTHLY STATS'!$K$39*0.21</f>
        <v>1213029.2600999998</v>
      </c>
      <c r="I31" s="89">
        <f>'MONTHLY STATS'!$K$44*0.21</f>
        <v>2819522.3153999997</v>
      </c>
      <c r="J31" s="89">
        <f>'MONTHLY STATS'!$K$49*0.21</f>
        <v>3702168.1788000003</v>
      </c>
      <c r="K31" s="89">
        <f>'MONTHLY STATS'!$K$54*0.21</f>
        <v>4113346.1313</v>
      </c>
      <c r="L31" s="89">
        <f>'MONTHLY STATS'!$K$59*0.21</f>
        <v>592155.4359</v>
      </c>
      <c r="M31" s="89">
        <f>'MONTHLY STATS'!$K$64*0.21</f>
        <v>4912327.5138</v>
      </c>
      <c r="N31" s="89">
        <f>'MONTHLY STATS'!$K$69*0.21</f>
        <v>755284.4249999999</v>
      </c>
      <c r="O31" s="90">
        <f>SUM(B31:N31)</f>
        <v>31612704.2343</v>
      </c>
      <c r="P31" s="83"/>
    </row>
    <row r="32" spans="1:16" ht="15.75">
      <c r="A32" s="88">
        <f>DATE(2018,8,1)</f>
        <v>43313</v>
      </c>
      <c r="B32" s="89">
        <f>'MONTHLY STATS'!$K$10*0.21</f>
        <v>2931159.3863999997</v>
      </c>
      <c r="C32" s="89">
        <f>'MONTHLY STATS'!$K$15*0.21</f>
        <v>1490706.2352</v>
      </c>
      <c r="D32" s="89">
        <f>'MONTHLY STATS'!$K$20*0.21</f>
        <v>656176.9746</v>
      </c>
      <c r="E32" s="89">
        <f>'MONTHLY STATS'!$K$25*0.21</f>
        <v>4286184.1554</v>
      </c>
      <c r="F32" s="89">
        <f>'MONTHLY STATS'!$K$30*0.21</f>
        <v>3063779.8274999997</v>
      </c>
      <c r="G32" s="89">
        <f>'MONTHLY STATS'!$K$35*0.21</f>
        <v>1105283.0607</v>
      </c>
      <c r="H32" s="89">
        <f>'MONTHLY STATS'!$K$40*0.21</f>
        <v>1168175.9922</v>
      </c>
      <c r="I32" s="89">
        <f>'MONTHLY STATS'!$K$45*0.21</f>
        <v>2941388.9526</v>
      </c>
      <c r="J32" s="89">
        <f>'MONTHLY STATS'!$K$50*0.21</f>
        <v>3737965.8162</v>
      </c>
      <c r="K32" s="89">
        <f>'MONTHLY STATS'!$K$55*0.21</f>
        <v>4005332.6166</v>
      </c>
      <c r="L32" s="89">
        <f>'MONTHLY STATS'!$K$60*0.21</f>
        <v>583714.4480999999</v>
      </c>
      <c r="M32" s="89">
        <f>'MONTHLY STATS'!$K$65*0.21</f>
        <v>5012078.6751</v>
      </c>
      <c r="N32" s="89">
        <f>'MONTHLY STATS'!$K$70*0.21</f>
        <v>764230.7588999999</v>
      </c>
      <c r="O32" s="90">
        <f>SUM(B32:N32)</f>
        <v>31746176.8995</v>
      </c>
      <c r="P32" s="83"/>
    </row>
    <row r="33" spans="1:16" ht="15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5739919.9053</v>
      </c>
      <c r="C44" s="90">
        <f t="shared" si="1"/>
        <v>3039424.7898</v>
      </c>
      <c r="D44" s="90">
        <f t="shared" si="1"/>
        <v>1341819.3831</v>
      </c>
      <c r="E44" s="90">
        <f t="shared" si="1"/>
        <v>8524003.7736</v>
      </c>
      <c r="F44" s="90">
        <f t="shared" si="1"/>
        <v>6191742.265799999</v>
      </c>
      <c r="G44" s="90">
        <f t="shared" si="1"/>
        <v>2201250.4962</v>
      </c>
      <c r="H44" s="90">
        <f t="shared" si="1"/>
        <v>2381205.2523</v>
      </c>
      <c r="I44" s="90">
        <f>SUM(I31:I42)</f>
        <v>5760911.267999999</v>
      </c>
      <c r="J44" s="90">
        <f t="shared" si="1"/>
        <v>7440133.995</v>
      </c>
      <c r="K44" s="90">
        <f>SUM(K31:K42)</f>
        <v>8118678.7479</v>
      </c>
      <c r="L44" s="90">
        <f t="shared" si="1"/>
        <v>1175869.884</v>
      </c>
      <c r="M44" s="90">
        <f t="shared" si="1"/>
        <v>9924406.1889</v>
      </c>
      <c r="N44" s="90">
        <f t="shared" si="1"/>
        <v>1519515.1838999998</v>
      </c>
      <c r="O44" s="90">
        <f t="shared" si="1"/>
        <v>63358881.1338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>(+D9-E9)/E9</f>
        <v>0.04706771859555059</v>
      </c>
      <c r="G9" s="215">
        <f>D9/C9</f>
        <v>0.17770472157927492</v>
      </c>
      <c r="H9" s="123"/>
    </row>
    <row r="10" spans="1:8" ht="15.7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>(+D10-E10)/E10</f>
        <v>0.07760179630727687</v>
      </c>
      <c r="G10" s="215">
        <f>D10/C10</f>
        <v>0.15893507234459484</v>
      </c>
      <c r="H10" s="123"/>
    </row>
    <row r="11" spans="1:8" ht="15.75" thickBot="1">
      <c r="A11" s="133"/>
      <c r="B11" s="134"/>
      <c r="C11" s="204"/>
      <c r="D11" s="204"/>
      <c r="E11" s="204"/>
      <c r="F11" s="132"/>
      <c r="G11" s="215"/>
      <c r="H11" s="123"/>
    </row>
    <row r="12" spans="1:8" ht="17.25" thickBot="1" thickTop="1">
      <c r="A12" s="135" t="s">
        <v>14</v>
      </c>
      <c r="B12" s="136"/>
      <c r="C12" s="201">
        <f>SUM(C9:C11)</f>
        <v>20842868</v>
      </c>
      <c r="D12" s="201">
        <f>SUM(D9:D11)</f>
        <v>3505564.5</v>
      </c>
      <c r="E12" s="201">
        <f>SUM(E9:E11)</f>
        <v>3302539.98</v>
      </c>
      <c r="F12" s="137">
        <f>(+D12-E12)/E12</f>
        <v>0.06147526486568075</v>
      </c>
      <c r="G12" s="212">
        <f>D12/C12</f>
        <v>0.168190121436263</v>
      </c>
      <c r="H12" s="123"/>
    </row>
    <row r="13" spans="1:8" ht="15.75" customHeight="1" thickTop="1">
      <c r="A13" s="138"/>
      <c r="B13" s="139"/>
      <c r="C13" s="205"/>
      <c r="D13" s="205"/>
      <c r="E13" s="205"/>
      <c r="F13" s="140"/>
      <c r="G13" s="216"/>
      <c r="H13" s="123"/>
    </row>
    <row r="14" spans="1:8" ht="15.75">
      <c r="A14" s="19" t="s">
        <v>15</v>
      </c>
      <c r="B14" s="131">
        <f>DATE(2018,7,1)</f>
        <v>43282</v>
      </c>
      <c r="C14" s="204">
        <v>2618283</v>
      </c>
      <c r="D14" s="204">
        <v>544502.5</v>
      </c>
      <c r="E14" s="204">
        <v>642088</v>
      </c>
      <c r="F14" s="132">
        <f>(+D14-E14)/E14</f>
        <v>-0.15198150409289693</v>
      </c>
      <c r="G14" s="215">
        <f>D14/C14</f>
        <v>0.2079616680091495</v>
      </c>
      <c r="H14" s="123"/>
    </row>
    <row r="15" spans="1:8" ht="15.75">
      <c r="A15" s="19"/>
      <c r="B15" s="131">
        <f>DATE(2018,8,1)</f>
        <v>43313</v>
      </c>
      <c r="C15" s="204">
        <v>2865412</v>
      </c>
      <c r="D15" s="204">
        <v>656165</v>
      </c>
      <c r="E15" s="204">
        <v>490413</v>
      </c>
      <c r="F15" s="132">
        <f>(+D15-E15)/E15</f>
        <v>0.3379845150923813</v>
      </c>
      <c r="G15" s="215">
        <f>D15/C15</f>
        <v>0.22899499269215037</v>
      </c>
      <c r="H15" s="123"/>
    </row>
    <row r="16" spans="1:8" ht="15.75" thickBot="1">
      <c r="A16" s="133"/>
      <c r="B16" s="131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SUM(C14:C16)</f>
        <v>5483695</v>
      </c>
      <c r="D17" s="201">
        <f>SUM(D14:D16)</f>
        <v>1200667.5</v>
      </c>
      <c r="E17" s="201">
        <f>SUM(E14:E16)</f>
        <v>1132501</v>
      </c>
      <c r="F17" s="137">
        <f>(+D17-E17)/E17</f>
        <v>0.06019111682903591</v>
      </c>
      <c r="G17" s="212">
        <f>D17/C17</f>
        <v>0.2189522757921438</v>
      </c>
      <c r="H17" s="123"/>
    </row>
    <row r="18" spans="1:8" ht="15.75" customHeight="1" thickTop="1">
      <c r="A18" s="255"/>
      <c r="B18" s="139"/>
      <c r="C18" s="205"/>
      <c r="D18" s="205"/>
      <c r="E18" s="205"/>
      <c r="F18" s="140"/>
      <c r="G18" s="219"/>
      <c r="H18" s="123"/>
    </row>
    <row r="19" spans="1:8" ht="15.75">
      <c r="A19" s="19" t="s">
        <v>56</v>
      </c>
      <c r="B19" s="131">
        <f>DATE(2018,7,1)</f>
        <v>43282</v>
      </c>
      <c r="C19" s="204">
        <v>1379575</v>
      </c>
      <c r="D19" s="204">
        <v>373264</v>
      </c>
      <c r="E19" s="204">
        <v>330815.5</v>
      </c>
      <c r="F19" s="132">
        <f>(+D19-E19)/E19</f>
        <v>0.12831472527738272</v>
      </c>
      <c r="G19" s="215">
        <f>D19/C19</f>
        <v>0.27056448543935635</v>
      </c>
      <c r="H19" s="123"/>
    </row>
    <row r="20" spans="1:8" ht="15.75">
      <c r="A20" s="19"/>
      <c r="B20" s="131">
        <f>DATE(2018,8,1)</f>
        <v>43313</v>
      </c>
      <c r="C20" s="204">
        <v>1464999</v>
      </c>
      <c r="D20" s="204">
        <v>339140.5</v>
      </c>
      <c r="E20" s="204">
        <v>326287.5</v>
      </c>
      <c r="F20" s="132">
        <f>(+D20-E20)/E20</f>
        <v>0.03939164080757001</v>
      </c>
      <c r="G20" s="215">
        <f>D20/C20</f>
        <v>0.23149537986032756</v>
      </c>
      <c r="H20" s="123"/>
    </row>
    <row r="21" spans="1:8" ht="15.75" thickBot="1">
      <c r="A21" s="133"/>
      <c r="B21" s="131"/>
      <c r="C21" s="204"/>
      <c r="D21" s="204"/>
      <c r="E21" s="204"/>
      <c r="F21" s="132"/>
      <c r="G21" s="215"/>
      <c r="H21" s="123"/>
    </row>
    <row r="22" spans="1:8" ht="17.25" thickBot="1" thickTop="1">
      <c r="A22" s="141" t="s">
        <v>14</v>
      </c>
      <c r="B22" s="142"/>
      <c r="C22" s="206">
        <f>SUM(C19:C21)</f>
        <v>2844574</v>
      </c>
      <c r="D22" s="206">
        <f>SUM(D19:D21)</f>
        <v>712404.5</v>
      </c>
      <c r="E22" s="206">
        <f>SUM(E19:E21)</f>
        <v>657103</v>
      </c>
      <c r="F22" s="143">
        <f>(+D22-E22)/E22</f>
        <v>0.08415956098206825</v>
      </c>
      <c r="G22" s="217">
        <f>D22/C22</f>
        <v>0.2504433001215648</v>
      </c>
      <c r="H22" s="123"/>
    </row>
    <row r="23" spans="1:8" ht="15.75" thickTop="1">
      <c r="A23" s="133"/>
      <c r="B23" s="134"/>
      <c r="C23" s="204"/>
      <c r="D23" s="204"/>
      <c r="E23" s="204"/>
      <c r="F23" s="132"/>
      <c r="G23" s="218"/>
      <c r="H23" s="123"/>
    </row>
    <row r="24" spans="1:8" ht="15.75">
      <c r="A24" s="177" t="s">
        <v>65</v>
      </c>
      <c r="B24" s="131">
        <f>DATE(2018,7,1)</f>
        <v>43282</v>
      </c>
      <c r="C24" s="204">
        <v>14770922.01</v>
      </c>
      <c r="D24" s="204">
        <v>2640847.24</v>
      </c>
      <c r="E24" s="204">
        <v>3444933.46</v>
      </c>
      <c r="F24" s="132">
        <f>(+D24-E24)/E24</f>
        <v>-0.23341124852960143</v>
      </c>
      <c r="G24" s="215">
        <f>D24/C24</f>
        <v>0.17878689212576787</v>
      </c>
      <c r="H24" s="123"/>
    </row>
    <row r="25" spans="1:8" ht="15.75">
      <c r="A25" s="177"/>
      <c r="B25" s="131">
        <f>DATE(2018,8,1)</f>
        <v>43313</v>
      </c>
      <c r="C25" s="204">
        <v>14974767</v>
      </c>
      <c r="D25" s="204">
        <v>3019576.86</v>
      </c>
      <c r="E25" s="204">
        <v>2738890.99</v>
      </c>
      <c r="F25" s="132">
        <f>(+D25-E25)/E25</f>
        <v>0.10248157777173877</v>
      </c>
      <c r="G25" s="215">
        <f>D25/C25</f>
        <v>0.20164433009208088</v>
      </c>
      <c r="H25" s="123"/>
    </row>
    <row r="26" spans="1:8" ht="15.75" customHeight="1" thickBot="1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6">
        <f>SUM(C24:C26)</f>
        <v>29745689.009999998</v>
      </c>
      <c r="D27" s="206">
        <f>SUM(D24:D26)</f>
        <v>5660424.1</v>
      </c>
      <c r="E27" s="206">
        <f>SUM(E24:E26)</f>
        <v>6183824.45</v>
      </c>
      <c r="F27" s="143">
        <f>(+D27-E27)/E27</f>
        <v>-0.0846402342485645</v>
      </c>
      <c r="G27" s="217">
        <f>D27/C27</f>
        <v>0.19029393126839525</v>
      </c>
      <c r="H27" s="123"/>
    </row>
    <row r="28" spans="1:8" ht="15.75" customHeight="1" thickTop="1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>
      <c r="A29" s="130" t="s">
        <v>39</v>
      </c>
      <c r="B29" s="131">
        <f>DATE(2018,7,1)</f>
        <v>43282</v>
      </c>
      <c r="C29" s="204">
        <v>16232884.5</v>
      </c>
      <c r="D29" s="204">
        <v>3513953.5</v>
      </c>
      <c r="E29" s="204">
        <v>4591352</v>
      </c>
      <c r="F29" s="132">
        <f>(+D29-E29)/E29</f>
        <v>-0.23465822267602224</v>
      </c>
      <c r="G29" s="215">
        <f>D29/C29</f>
        <v>0.21647129319499564</v>
      </c>
      <c r="H29" s="123"/>
    </row>
    <row r="30" spans="1:8" ht="15" customHeight="1">
      <c r="A30" s="130"/>
      <c r="B30" s="131">
        <f>DATE(2018,8,1)</f>
        <v>43313</v>
      </c>
      <c r="C30" s="204">
        <v>16145647</v>
      </c>
      <c r="D30" s="204">
        <v>3570821.5</v>
      </c>
      <c r="E30" s="204">
        <v>3842200.5</v>
      </c>
      <c r="F30" s="132">
        <f>(+D30-E30)/E30</f>
        <v>-0.07063113962949097</v>
      </c>
      <c r="G30" s="215">
        <f>D30/C30</f>
        <v>0.22116310978432763</v>
      </c>
      <c r="H30" s="123"/>
    </row>
    <row r="31" spans="1:8" ht="15.75" thickBot="1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Bot="1" thickTop="1">
      <c r="A32" s="141" t="s">
        <v>14</v>
      </c>
      <c r="B32" s="142"/>
      <c r="C32" s="207">
        <f>SUM(C29:C31)</f>
        <v>32378531.5</v>
      </c>
      <c r="D32" s="261">
        <f>SUM(D29:D31)</f>
        <v>7084775</v>
      </c>
      <c r="E32" s="206">
        <f>SUM(E29:E31)</f>
        <v>8433552.5</v>
      </c>
      <c r="F32" s="268">
        <f>(+D32-E32)/E32</f>
        <v>-0.159929934627193</v>
      </c>
      <c r="G32" s="267">
        <f>D32/C32</f>
        <v>0.21881088090730735</v>
      </c>
      <c r="H32" s="123"/>
    </row>
    <row r="33" spans="1:8" ht="15.75" customHeight="1" thickTop="1">
      <c r="A33" s="130"/>
      <c r="B33" s="134"/>
      <c r="C33" s="204"/>
      <c r="D33" s="204"/>
      <c r="E33" s="204"/>
      <c r="F33" s="132"/>
      <c r="G33" s="218"/>
      <c r="H33" s="123"/>
    </row>
    <row r="34" spans="1:8" ht="15.75">
      <c r="A34" s="130" t="s">
        <v>66</v>
      </c>
      <c r="B34" s="131">
        <f>DATE(2018,7,1)</f>
        <v>43282</v>
      </c>
      <c r="C34" s="204">
        <v>2606833</v>
      </c>
      <c r="D34" s="204">
        <v>682875.5</v>
      </c>
      <c r="E34" s="204">
        <v>703792.5</v>
      </c>
      <c r="F34" s="132">
        <f>(+D34-E34)/E34</f>
        <v>-0.029720407648561188</v>
      </c>
      <c r="G34" s="215">
        <f>D34/C34</f>
        <v>0.26195598260417907</v>
      </c>
      <c r="H34" s="123"/>
    </row>
    <row r="35" spans="1:8" ht="15.75">
      <c r="A35" s="130"/>
      <c r="B35" s="131">
        <f>DATE(2018,8,1)</f>
        <v>43313</v>
      </c>
      <c r="C35" s="204">
        <v>2586664</v>
      </c>
      <c r="D35" s="204">
        <v>651283.5</v>
      </c>
      <c r="E35" s="204">
        <v>551376.5</v>
      </c>
      <c r="F35" s="132">
        <f>(+D35-E35)/E35</f>
        <v>0.1811956077199518</v>
      </c>
      <c r="G35" s="215">
        <f>D35/C35</f>
        <v>0.2517851178197091</v>
      </c>
      <c r="H35" s="123"/>
    </row>
    <row r="36" spans="1:8" ht="15.75" customHeight="1" thickBot="1">
      <c r="A36" s="130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7">
        <f>SUM(C34:C36)</f>
        <v>5193497</v>
      </c>
      <c r="D37" s="261">
        <f>SUM(D34:D36)</f>
        <v>1334159</v>
      </c>
      <c r="E37" s="207">
        <f>SUM(E34:E36)</f>
        <v>1255169</v>
      </c>
      <c r="F37" s="268">
        <f>(+D37-E37)/E37</f>
        <v>0.06293176456716187</v>
      </c>
      <c r="G37" s="267">
        <f>D37/C37</f>
        <v>0.2568902995419079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.75">
      <c r="A39" s="130" t="s">
        <v>17</v>
      </c>
      <c r="B39" s="131">
        <f>DATE(2018,7,1)</f>
        <v>43282</v>
      </c>
      <c r="C39" s="204">
        <v>1436883</v>
      </c>
      <c r="D39" s="204">
        <v>395162.5</v>
      </c>
      <c r="E39" s="204">
        <v>362602</v>
      </c>
      <c r="F39" s="132">
        <f>(+D39-E39)/E39</f>
        <v>0.08979680200329838</v>
      </c>
      <c r="G39" s="215">
        <f>D39/C39</f>
        <v>0.2750136928337241</v>
      </c>
      <c r="H39" s="123"/>
    </row>
    <row r="40" spans="1:8" ht="15.75">
      <c r="A40" s="130"/>
      <c r="B40" s="131">
        <f>DATE(2018,8,1)</f>
        <v>43313</v>
      </c>
      <c r="C40" s="204">
        <v>1346022</v>
      </c>
      <c r="D40" s="204">
        <v>271146</v>
      </c>
      <c r="E40" s="204">
        <v>327445</v>
      </c>
      <c r="F40" s="132">
        <f>(+D40-E40)/E40</f>
        <v>-0.17193421796026814</v>
      </c>
      <c r="G40" s="215">
        <f>D40/C40</f>
        <v>0.20144247270846985</v>
      </c>
      <c r="H40" s="123"/>
    </row>
    <row r="41" spans="1:8" ht="15.75" customHeight="1" thickBot="1">
      <c r="A41" s="130"/>
      <c r="B41" s="131"/>
      <c r="C41" s="204"/>
      <c r="D41" s="204"/>
      <c r="E41" s="204"/>
      <c r="F41" s="132"/>
      <c r="G41" s="215"/>
      <c r="H41" s="123"/>
    </row>
    <row r="42" spans="1:8" ht="17.25" thickBot="1" thickTop="1">
      <c r="A42" s="141" t="s">
        <v>14</v>
      </c>
      <c r="B42" s="142"/>
      <c r="C42" s="207">
        <f>SUM(C39:C41)</f>
        <v>2782905</v>
      </c>
      <c r="D42" s="261">
        <f>SUM(D39:D41)</f>
        <v>666308.5</v>
      </c>
      <c r="E42" s="207">
        <f>SUM(E39:E41)</f>
        <v>690047</v>
      </c>
      <c r="F42" s="269">
        <f>(+D42-E42)/E42</f>
        <v>-0.03440127991281753</v>
      </c>
      <c r="G42" s="267">
        <f>D42/C42</f>
        <v>0.23942912172711608</v>
      </c>
      <c r="H42" s="123"/>
    </row>
    <row r="43" spans="1:8" ht="15.75" customHeight="1" thickTop="1">
      <c r="A43" s="130"/>
      <c r="B43" s="139"/>
      <c r="C43" s="205"/>
      <c r="D43" s="205"/>
      <c r="E43" s="205"/>
      <c r="F43" s="140"/>
      <c r="G43" s="216"/>
      <c r="H43" s="123"/>
    </row>
    <row r="44" spans="1:8" ht="15.75">
      <c r="A44" s="130" t="s">
        <v>55</v>
      </c>
      <c r="B44" s="131">
        <f>DATE(2018,7,1)</f>
        <v>43282</v>
      </c>
      <c r="C44" s="204">
        <v>13110915</v>
      </c>
      <c r="D44" s="204">
        <v>2057880.1</v>
      </c>
      <c r="E44" s="204">
        <v>2413267.38</v>
      </c>
      <c r="F44" s="132">
        <f>(+D44-E44)/E44</f>
        <v>-0.1472639471884793</v>
      </c>
      <c r="G44" s="215">
        <f>D44/C44</f>
        <v>0.1569593045184108</v>
      </c>
      <c r="H44" s="123"/>
    </row>
    <row r="45" spans="1:8" ht="15.75">
      <c r="A45" s="130"/>
      <c r="B45" s="131">
        <f>DATE(2018,8,1)</f>
        <v>43313</v>
      </c>
      <c r="C45" s="204">
        <v>13239234</v>
      </c>
      <c r="D45" s="204">
        <v>2105874.34</v>
      </c>
      <c r="E45" s="204">
        <v>2335423.3</v>
      </c>
      <c r="F45" s="132">
        <f>(+D45-E45)/E45</f>
        <v>-0.09829008728310623</v>
      </c>
      <c r="G45" s="215">
        <f>D45/C45</f>
        <v>0.15906315576867966</v>
      </c>
      <c r="H45" s="123"/>
    </row>
    <row r="46" spans="1:8" ht="15.75" customHeight="1" thickBot="1">
      <c r="A46" s="130"/>
      <c r="B46" s="131"/>
      <c r="C46" s="204"/>
      <c r="D46" s="204"/>
      <c r="E46" s="204"/>
      <c r="F46" s="132"/>
      <c r="G46" s="215"/>
      <c r="H46" s="123"/>
    </row>
    <row r="47" spans="1:8" ht="17.25" thickBot="1" thickTop="1">
      <c r="A47" s="141" t="s">
        <v>14</v>
      </c>
      <c r="B47" s="142"/>
      <c r="C47" s="206">
        <f>SUM(C44:C46)</f>
        <v>26350149</v>
      </c>
      <c r="D47" s="206">
        <f>SUM(D44:D46)</f>
        <v>4163754.44</v>
      </c>
      <c r="E47" s="206">
        <f>SUM(E44:E46)</f>
        <v>4748690.68</v>
      </c>
      <c r="F47" s="143">
        <f>(+D47-E47)/E47</f>
        <v>-0.12317842525805446</v>
      </c>
      <c r="G47" s="217">
        <f>D47/C47</f>
        <v>0.15801635277280596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6"/>
      <c r="H48" s="123"/>
    </row>
    <row r="49" spans="1:8" ht="15.75">
      <c r="A49" s="130" t="s">
        <v>18</v>
      </c>
      <c r="B49" s="131">
        <f>DATE(2018,7,1)</f>
        <v>43282</v>
      </c>
      <c r="C49" s="204">
        <v>13620105.34</v>
      </c>
      <c r="D49" s="204">
        <v>2729067.84</v>
      </c>
      <c r="E49" s="204">
        <v>2350317.5</v>
      </c>
      <c r="F49" s="132">
        <f>(+D49-E49)/E49</f>
        <v>0.16114858524433395</v>
      </c>
      <c r="G49" s="215">
        <f>D49/C49</f>
        <v>0.20037053839702534</v>
      </c>
      <c r="H49" s="123"/>
    </row>
    <row r="50" spans="1:8" ht="15.75">
      <c r="A50" s="130"/>
      <c r="B50" s="131">
        <f>DATE(2018,8,1)</f>
        <v>43313</v>
      </c>
      <c r="C50" s="204">
        <v>12049552</v>
      </c>
      <c r="D50" s="204">
        <v>2970026</v>
      </c>
      <c r="E50" s="204">
        <v>1942234.5</v>
      </c>
      <c r="F50" s="132">
        <f>(+D50-E50)/E50</f>
        <v>0.5291799213740668</v>
      </c>
      <c r="G50" s="215">
        <f>D50/C50</f>
        <v>0.2464843506215003</v>
      </c>
      <c r="H50" s="123"/>
    </row>
    <row r="51" spans="1:8" ht="15.75" customHeight="1" thickBot="1">
      <c r="A51" s="130"/>
      <c r="B51" s="131"/>
      <c r="C51" s="204"/>
      <c r="D51" s="204"/>
      <c r="E51" s="204"/>
      <c r="F51" s="132"/>
      <c r="G51" s="215"/>
      <c r="H51" s="123"/>
    </row>
    <row r="52" spans="1:8" ht="17.25" thickBot="1" thickTop="1">
      <c r="A52" s="141" t="s">
        <v>14</v>
      </c>
      <c r="B52" s="142"/>
      <c r="C52" s="206">
        <f>SUM(C49:C51)</f>
        <v>25669657.34</v>
      </c>
      <c r="D52" s="206">
        <f>SUM(D49:D51)</f>
        <v>5699093.84</v>
      </c>
      <c r="E52" s="206">
        <f>SUM(E49:E51)</f>
        <v>4292552</v>
      </c>
      <c r="F52" s="143">
        <f>(+D52-E52)/E52</f>
        <v>0.3276703089444228</v>
      </c>
      <c r="G52" s="217">
        <f>D52/C52</f>
        <v>0.2220167478090691</v>
      </c>
      <c r="H52" s="123"/>
    </row>
    <row r="53" spans="1:8" ht="15.75" customHeight="1" thickTop="1">
      <c r="A53" s="138"/>
      <c r="B53" s="139"/>
      <c r="C53" s="205"/>
      <c r="D53" s="205"/>
      <c r="E53" s="205"/>
      <c r="F53" s="140"/>
      <c r="G53" s="216"/>
      <c r="H53" s="123"/>
    </row>
    <row r="54" spans="1:8" ht="15.75">
      <c r="A54" s="130" t="s">
        <v>58</v>
      </c>
      <c r="B54" s="131">
        <f>DATE(2018,7,1)</f>
        <v>43282</v>
      </c>
      <c r="C54" s="204">
        <v>12908844</v>
      </c>
      <c r="D54" s="204">
        <v>2888136.73</v>
      </c>
      <c r="E54" s="204">
        <v>2354816.66</v>
      </c>
      <c r="F54" s="132">
        <f>(+D54-E54)/E54</f>
        <v>0.22648050655459512</v>
      </c>
      <c r="G54" s="215">
        <f>D54/C54</f>
        <v>0.22373318091069966</v>
      </c>
      <c r="H54" s="123"/>
    </row>
    <row r="55" spans="1:8" ht="15.75">
      <c r="A55" s="130"/>
      <c r="B55" s="131">
        <f>DATE(2018,8,1)</f>
        <v>43313</v>
      </c>
      <c r="C55" s="204">
        <v>11947559</v>
      </c>
      <c r="D55" s="204">
        <v>2450251.84</v>
      </c>
      <c r="E55" s="204">
        <v>1981472</v>
      </c>
      <c r="F55" s="132">
        <f>(+D55-E55)/E55</f>
        <v>0.23658161205406883</v>
      </c>
      <c r="G55" s="215">
        <f>D55/C55</f>
        <v>0.20508388700989047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thickBot="1" thickTop="1">
      <c r="A57" s="141" t="s">
        <v>14</v>
      </c>
      <c r="B57" s="142"/>
      <c r="C57" s="207">
        <f>SUM(C54:C56)</f>
        <v>24856403</v>
      </c>
      <c r="D57" s="207">
        <f>SUM(D54:D56)</f>
        <v>5338388.57</v>
      </c>
      <c r="E57" s="207">
        <f>SUM(E54:E56)</f>
        <v>4336288.66</v>
      </c>
      <c r="F57" s="143">
        <f>(+D57-E57)/E57</f>
        <v>0.23109621811939063</v>
      </c>
      <c r="G57" s="267">
        <f>D57/C57</f>
        <v>0.21476915103122524</v>
      </c>
      <c r="H57" s="123"/>
    </row>
    <row r="58" spans="1:8" ht="15.75" customHeight="1" thickTop="1">
      <c r="A58" s="138"/>
      <c r="B58" s="139"/>
      <c r="C58" s="205"/>
      <c r="D58" s="205"/>
      <c r="E58" s="205"/>
      <c r="F58" s="140"/>
      <c r="G58" s="219"/>
      <c r="H58" s="123"/>
    </row>
    <row r="59" spans="1:8" ht="15.75">
      <c r="A59" s="130" t="s">
        <v>59</v>
      </c>
      <c r="B59" s="131">
        <f>DATE(2018,7,1)</f>
        <v>43282</v>
      </c>
      <c r="C59" s="204">
        <v>623996.5</v>
      </c>
      <c r="D59" s="204">
        <v>154554.5</v>
      </c>
      <c r="E59" s="204">
        <v>185261.5</v>
      </c>
      <c r="F59" s="132">
        <f>(+D59-E59)/E59</f>
        <v>-0.16574949463326163</v>
      </c>
      <c r="G59" s="215">
        <f>D59/C59</f>
        <v>0.24768488284790058</v>
      </c>
      <c r="H59" s="123"/>
    </row>
    <row r="60" spans="1:8" ht="15.75">
      <c r="A60" s="130"/>
      <c r="B60" s="131">
        <f>DATE(2018,8,1)</f>
        <v>43313</v>
      </c>
      <c r="C60" s="204">
        <v>653768</v>
      </c>
      <c r="D60" s="204">
        <v>228200</v>
      </c>
      <c r="E60" s="204">
        <v>131840.5</v>
      </c>
      <c r="F60" s="132">
        <f>(+D60-E60)/E60</f>
        <v>0.7308793580121434</v>
      </c>
      <c r="G60" s="215">
        <f>D60/C60</f>
        <v>0.34905348686384163</v>
      </c>
      <c r="H60" s="123"/>
    </row>
    <row r="61" spans="1:8" ht="15.75" thickBot="1">
      <c r="A61" s="133"/>
      <c r="B61" s="134"/>
      <c r="C61" s="204"/>
      <c r="D61" s="204"/>
      <c r="E61" s="204"/>
      <c r="F61" s="132"/>
      <c r="G61" s="215"/>
      <c r="H61" s="123"/>
    </row>
    <row r="62" spans="1:8" ht="17.25" thickBot="1" thickTop="1">
      <c r="A62" s="144" t="s">
        <v>14</v>
      </c>
      <c r="B62" s="145"/>
      <c r="C62" s="207">
        <f>SUM(C59:C61)</f>
        <v>1277764.5</v>
      </c>
      <c r="D62" s="207">
        <f>SUM(D59:D61)</f>
        <v>382754.5</v>
      </c>
      <c r="E62" s="207">
        <f>SUM(E59:E61)</f>
        <v>317102</v>
      </c>
      <c r="F62" s="143">
        <f>(+D62-E62)/E62</f>
        <v>0.20703905998700733</v>
      </c>
      <c r="G62" s="217">
        <f>D62/C62</f>
        <v>0.29955011271638865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.75">
      <c r="A64" s="130" t="s">
        <v>40</v>
      </c>
      <c r="B64" s="131">
        <f>DATE(2018,7,1)</f>
        <v>43282</v>
      </c>
      <c r="C64" s="204">
        <v>18395528</v>
      </c>
      <c r="D64" s="204">
        <v>3985733.36</v>
      </c>
      <c r="E64" s="204">
        <v>3485005.33</v>
      </c>
      <c r="F64" s="132">
        <f>(+D64-E64)/E64</f>
        <v>0.14368070708230446</v>
      </c>
      <c r="G64" s="215">
        <f>D64/C64</f>
        <v>0.21666860336925364</v>
      </c>
      <c r="H64" s="123"/>
    </row>
    <row r="65" spans="1:8" ht="15.75">
      <c r="A65" s="130"/>
      <c r="B65" s="131">
        <f>DATE(2018,8,1)</f>
        <v>43313</v>
      </c>
      <c r="C65" s="204">
        <v>18678539</v>
      </c>
      <c r="D65" s="204">
        <v>4234586.6</v>
      </c>
      <c r="E65" s="204">
        <v>2756152.9</v>
      </c>
      <c r="F65" s="132">
        <f>(+D65-E65)/E65</f>
        <v>0.5364120764127418</v>
      </c>
      <c r="G65" s="215">
        <f>D65/C65</f>
        <v>0.22670866281351018</v>
      </c>
      <c r="H65" s="123"/>
    </row>
    <row r="66" spans="1:8" ht="15.75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6">
        <f>SUM(C64:C66)</f>
        <v>37074067</v>
      </c>
      <c r="D67" s="207">
        <f>SUM(D64:D66)</f>
        <v>8220319.959999999</v>
      </c>
      <c r="E67" s="206">
        <f>SUM(E64:E66)</f>
        <v>6241158.23</v>
      </c>
      <c r="F67" s="143">
        <f>(+D67-E67)/E67</f>
        <v>0.31711449334621317</v>
      </c>
      <c r="G67" s="217">
        <f>D67/C67</f>
        <v>0.22172695431553271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64</v>
      </c>
      <c r="B69" s="131">
        <f>DATE(2018,7,1)</f>
        <v>43282</v>
      </c>
      <c r="C69" s="204">
        <v>835189</v>
      </c>
      <c r="D69" s="204">
        <v>171143.5</v>
      </c>
      <c r="E69" s="204">
        <v>283672</v>
      </c>
      <c r="F69" s="132">
        <f>(+D69-E69)/E69</f>
        <v>-0.3966852562113991</v>
      </c>
      <c r="G69" s="215">
        <f>D69/C69</f>
        <v>0.20491589328882445</v>
      </c>
      <c r="H69" s="123"/>
    </row>
    <row r="70" spans="1:8" ht="15.75">
      <c r="A70" s="130"/>
      <c r="B70" s="131">
        <f>DATE(2018,8,1)</f>
        <v>43313</v>
      </c>
      <c r="C70" s="204">
        <v>795370</v>
      </c>
      <c r="D70" s="204">
        <v>217353.5</v>
      </c>
      <c r="E70" s="204">
        <v>213515</v>
      </c>
      <c r="F70" s="132">
        <f>(+D70-E70)/E70</f>
        <v>0.017977659649204975</v>
      </c>
      <c r="G70" s="215">
        <f>D70/C70</f>
        <v>0.27327344506330387</v>
      </c>
      <c r="H70" s="123"/>
    </row>
    <row r="71" spans="1:8" ht="15.75" thickBot="1">
      <c r="A71" s="133"/>
      <c r="B71" s="134"/>
      <c r="C71" s="204"/>
      <c r="D71" s="204"/>
      <c r="E71" s="204"/>
      <c r="F71" s="132"/>
      <c r="G71" s="215"/>
      <c r="H71" s="123"/>
    </row>
    <row r="72" spans="1:8" ht="17.25" thickBot="1" thickTop="1">
      <c r="A72" s="135" t="s">
        <v>14</v>
      </c>
      <c r="B72" s="136"/>
      <c r="C72" s="201">
        <f>SUM(C69:C71)</f>
        <v>1630559</v>
      </c>
      <c r="D72" s="207">
        <f>SUM(D69:D71)</f>
        <v>388497</v>
      </c>
      <c r="E72" s="207">
        <f>SUM(E69:E71)</f>
        <v>497187</v>
      </c>
      <c r="F72" s="143">
        <f>(+D72-E72)/E72</f>
        <v>-0.2186098992934248</v>
      </c>
      <c r="G72" s="217">
        <f>D72/C72</f>
        <v>0.23826000776420847</v>
      </c>
      <c r="H72" s="123"/>
    </row>
    <row r="73" spans="1:8" ht="16.5" thickBot="1" thickTop="1">
      <c r="A73" s="146"/>
      <c r="B73" s="139"/>
      <c r="C73" s="205"/>
      <c r="D73" s="205"/>
      <c r="E73" s="205"/>
      <c r="F73" s="140"/>
      <c r="G73" s="216"/>
      <c r="H73" s="123"/>
    </row>
    <row r="74" spans="1:8" ht="17.25" thickBot="1" thickTop="1">
      <c r="A74" s="147" t="s">
        <v>41</v>
      </c>
      <c r="B74" s="121"/>
      <c r="C74" s="201">
        <f>C72+C67+C52+C42+C32+C22+C12+C27+C62+C17+C47+C57+C37</f>
        <v>216130359.35</v>
      </c>
      <c r="D74" s="201">
        <f>D72+D67+D52+D42+D32+D22+D12+D27+D62+D17+D47+D57+D37</f>
        <v>44357111.41</v>
      </c>
      <c r="E74" s="201">
        <f>E72+E67+E52+E42+E32+E22+E12+E27+E62+E17+E47+E57+E37</f>
        <v>42087715.5</v>
      </c>
      <c r="F74" s="137">
        <f>(+D74-E74)/E74</f>
        <v>0.053920624653528565</v>
      </c>
      <c r="G74" s="212">
        <f>D74/C74</f>
        <v>0.2052331358879962</v>
      </c>
      <c r="H74" s="123"/>
    </row>
    <row r="75" spans="1:8" ht="17.25" thickBot="1" thickTop="1">
      <c r="A75" s="147"/>
      <c r="B75" s="121"/>
      <c r="C75" s="201"/>
      <c r="D75" s="201"/>
      <c r="E75" s="201"/>
      <c r="F75" s="137"/>
      <c r="G75" s="212"/>
      <c r="H75" s="123"/>
    </row>
    <row r="76" spans="1:8" ht="17.25" thickBot="1" thickTop="1">
      <c r="A76" s="265" t="s">
        <v>42</v>
      </c>
      <c r="B76" s="266"/>
      <c r="C76" s="206">
        <f>+C10+C15+C20+C25+C30+C35+C40+C45+C50+C55+C60+C65+C70</f>
        <v>107313077</v>
      </c>
      <c r="D76" s="206">
        <f>+D10+D15+D20+D25+D30+D35+D40+D45+D50+D55+D60+D65+D70</f>
        <v>22393661.14</v>
      </c>
      <c r="E76" s="206">
        <f>+E10+E15+E20+E25+E30+E35+E40+E45+E50+E55+E60+E65+E70</f>
        <v>19195559.689999998</v>
      </c>
      <c r="F76" s="143">
        <f>(+D76-E76)/E76</f>
        <v>0.16660631425433595</v>
      </c>
      <c r="G76" s="217">
        <f>D76/C76</f>
        <v>0.20867597655409695</v>
      </c>
      <c r="H76" s="123"/>
    </row>
    <row r="77" spans="1:8" ht="16.5" thickTop="1">
      <c r="A77" s="256"/>
      <c r="B77" s="258"/>
      <c r="C77" s="259"/>
      <c r="D77" s="259"/>
      <c r="E77" s="259"/>
      <c r="F77" s="260"/>
      <c r="G77" s="257"/>
      <c r="H77" s="257"/>
    </row>
    <row r="78" spans="1:7" ht="18.75">
      <c r="A78" s="263" t="s">
        <v>43</v>
      </c>
      <c r="B78" s="117"/>
      <c r="C78" s="208"/>
      <c r="D78" s="208"/>
      <c r="E78" s="208"/>
      <c r="F78" s="148"/>
      <c r="G78" s="220"/>
    </row>
    <row r="79" ht="15.75">
      <c r="A7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>(+D10-E10)/E10</f>
        <v>-0.06861056264276917</v>
      </c>
      <c r="G10" s="241">
        <f>D10/C10</f>
        <v>0.0990254959528848</v>
      </c>
      <c r="H10" s="242">
        <f>1-G10</f>
        <v>0.9009745040471152</v>
      </c>
      <c r="I10" s="157"/>
    </row>
    <row r="11" spans="1:9" ht="15.7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>(+D11-E11)/E11</f>
        <v>0.07314869037595732</v>
      </c>
      <c r="G11" s="241">
        <f>D11/C11</f>
        <v>0.10426412288851994</v>
      </c>
      <c r="H11" s="242">
        <f>1-G11</f>
        <v>0.8957358771114801</v>
      </c>
      <c r="I11" s="157"/>
    </row>
    <row r="12" spans="1:9" ht="15.75" thickBot="1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Bot="1" thickTop="1">
      <c r="A13" s="169" t="s">
        <v>14</v>
      </c>
      <c r="B13" s="155"/>
      <c r="C13" s="223">
        <f>SUM(C10:C12)</f>
        <v>234388732.01</v>
      </c>
      <c r="D13" s="223">
        <f>SUM(D10:D12)</f>
        <v>23827387.43</v>
      </c>
      <c r="E13" s="223">
        <f>SUM(E10:E12)</f>
        <v>23841174.189999998</v>
      </c>
      <c r="F13" s="170">
        <f>(+D13-E13)/E13</f>
        <v>-0.0005782752095230556</v>
      </c>
      <c r="G13" s="236">
        <f>D13/C13</f>
        <v>0.10165756359389932</v>
      </c>
      <c r="H13" s="237">
        <f>1-G13</f>
        <v>0.8983424364061007</v>
      </c>
      <c r="I13" s="157"/>
    </row>
    <row r="14" spans="1:9" ht="15.75" thickTop="1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>
      <c r="A15" s="19" t="s">
        <v>51</v>
      </c>
      <c r="B15" s="165">
        <f>DATE(18,7,1)</f>
        <v>6757</v>
      </c>
      <c r="C15" s="226">
        <v>65541726.2</v>
      </c>
      <c r="D15" s="226">
        <v>6830347.76</v>
      </c>
      <c r="E15" s="226">
        <v>6811001.46</v>
      </c>
      <c r="F15" s="166">
        <f>(+D15-E15)/E15</f>
        <v>0.0028404486643583563</v>
      </c>
      <c r="G15" s="241">
        <f>D15/C15</f>
        <v>0.10421373003141927</v>
      </c>
      <c r="H15" s="242">
        <f>1-G15</f>
        <v>0.8957862699685807</v>
      </c>
      <c r="I15" s="157"/>
    </row>
    <row r="16" spans="1:9" ht="15.75">
      <c r="A16" s="19"/>
      <c r="B16" s="165">
        <f>DATE(18,8,1)</f>
        <v>6788</v>
      </c>
      <c r="C16" s="226">
        <v>63796111.6</v>
      </c>
      <c r="D16" s="226">
        <v>6442436.12</v>
      </c>
      <c r="E16" s="226">
        <v>6396602.31</v>
      </c>
      <c r="F16" s="166">
        <f>(+D16-E16)/E16</f>
        <v>0.007165336811442405</v>
      </c>
      <c r="G16" s="241">
        <f>D16/C16</f>
        <v>0.1009847772603119</v>
      </c>
      <c r="H16" s="242">
        <f>1-G16</f>
        <v>0.8990152227396881</v>
      </c>
      <c r="I16" s="157"/>
    </row>
    <row r="17" spans="1:9" ht="15.75" thickBot="1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SUM(C15:C17)</f>
        <v>129337837.80000001</v>
      </c>
      <c r="D18" s="223">
        <f>SUM(D15:D17)</f>
        <v>13272783.879999999</v>
      </c>
      <c r="E18" s="223">
        <f>SUM(E15:E17)</f>
        <v>13207603.77</v>
      </c>
      <c r="F18" s="170">
        <f>(+D18-E18)/E18</f>
        <v>0.0049350443225780844</v>
      </c>
      <c r="G18" s="236">
        <f>D18/C18</f>
        <v>0.10262104350719244</v>
      </c>
      <c r="H18" s="237">
        <f>1-G18</f>
        <v>0.8973789564928075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60</v>
      </c>
      <c r="B20" s="165">
        <f>DATE(18,7,1)</f>
        <v>6757</v>
      </c>
      <c r="C20" s="226">
        <v>27451989.68</v>
      </c>
      <c r="D20" s="226">
        <v>2891699.85</v>
      </c>
      <c r="E20" s="226">
        <v>2951015.74</v>
      </c>
      <c r="F20" s="166">
        <f>(+D20-E20)/E20</f>
        <v>-0.020100160495924745</v>
      </c>
      <c r="G20" s="241">
        <f>D20/C20</f>
        <v>0.10533662163317556</v>
      </c>
      <c r="H20" s="242">
        <f>1-G20</f>
        <v>0.8946633783668244</v>
      </c>
      <c r="I20" s="157"/>
    </row>
    <row r="21" spans="1:9" ht="15.75">
      <c r="A21" s="19"/>
      <c r="B21" s="165">
        <f>DATE(18,8,1)</f>
        <v>6788</v>
      </c>
      <c r="C21" s="226">
        <v>25957318.24</v>
      </c>
      <c r="D21" s="226">
        <v>2785511.76</v>
      </c>
      <c r="E21" s="226">
        <v>2587760.59</v>
      </c>
      <c r="F21" s="166">
        <f>(+D21-E21)/E21</f>
        <v>0.07641787681757684</v>
      </c>
      <c r="G21" s="241">
        <f>D21/C21</f>
        <v>0.10731123046862179</v>
      </c>
      <c r="H21" s="242">
        <f>1-G21</f>
        <v>0.8926887695313782</v>
      </c>
      <c r="I21" s="157"/>
    </row>
    <row r="22" spans="1:9" ht="15.75" thickBot="1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Bot="1" thickTop="1">
      <c r="A23" s="174" t="s">
        <v>14</v>
      </c>
      <c r="B23" s="175"/>
      <c r="C23" s="228">
        <f>SUM(C20:C22)</f>
        <v>53409307.92</v>
      </c>
      <c r="D23" s="228">
        <f>SUM(D20:D22)</f>
        <v>5677211.609999999</v>
      </c>
      <c r="E23" s="228">
        <f>SUM(E20:E22)</f>
        <v>5538776.33</v>
      </c>
      <c r="F23" s="176">
        <f>(+D23-E23)/E23</f>
        <v>0.02499383830507547</v>
      </c>
      <c r="G23" s="245">
        <f>D23/C23</f>
        <v>0.10629629611572018</v>
      </c>
      <c r="H23" s="246">
        <f>1-G23</f>
        <v>0.8937037038842798</v>
      </c>
      <c r="I23" s="157"/>
    </row>
    <row r="24" spans="1:9" ht="15.75" thickTop="1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>
      <c r="A25" s="177" t="s">
        <v>65</v>
      </c>
      <c r="B25" s="165">
        <f>DATE(18,7,1)</f>
        <v>6757</v>
      </c>
      <c r="C25" s="226">
        <v>184818671</v>
      </c>
      <c r="D25" s="226">
        <v>17539246.18</v>
      </c>
      <c r="E25" s="226">
        <v>17796071.33</v>
      </c>
      <c r="F25" s="166">
        <f>(+D25-E25)/E25</f>
        <v>-0.014431564430012797</v>
      </c>
      <c r="G25" s="241">
        <f>D25/C25</f>
        <v>0.0948997527419727</v>
      </c>
      <c r="H25" s="242">
        <f>1-G25</f>
        <v>0.9051002472580273</v>
      </c>
      <c r="I25" s="157"/>
    </row>
    <row r="26" spans="1:9" ht="15.75">
      <c r="A26" s="177"/>
      <c r="B26" s="165">
        <f>DATE(18,8,1)</f>
        <v>6788</v>
      </c>
      <c r="C26" s="226">
        <v>185402170.61</v>
      </c>
      <c r="D26" s="226">
        <v>17390823.88</v>
      </c>
      <c r="E26" s="226">
        <v>17013833.45</v>
      </c>
      <c r="F26" s="166">
        <f>(+D26-E26)/E26</f>
        <v>0.02215787706561802</v>
      </c>
      <c r="G26" s="241">
        <f>D26/C26</f>
        <v>0.09380054086088457</v>
      </c>
      <c r="H26" s="242">
        <f>1-G26</f>
        <v>0.9061994591391154</v>
      </c>
      <c r="I26" s="157"/>
    </row>
    <row r="27" spans="1:9" ht="15.75" thickBot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74" t="s">
        <v>14</v>
      </c>
      <c r="B28" s="178"/>
      <c r="C28" s="228">
        <f>SUM(C25:C27)</f>
        <v>370220841.61</v>
      </c>
      <c r="D28" s="228">
        <f>SUM(D25:D27)</f>
        <v>34930070.06</v>
      </c>
      <c r="E28" s="228">
        <f>SUM(E25:E27)</f>
        <v>34809904.78</v>
      </c>
      <c r="F28" s="176">
        <f>(+D28-E28)/E28</f>
        <v>0.003452042766547355</v>
      </c>
      <c r="G28" s="245">
        <f>D28/C28</f>
        <v>0.09434928057560903</v>
      </c>
      <c r="H28" s="246">
        <f>1-G28</f>
        <v>0.905650719424391</v>
      </c>
      <c r="I28" s="157"/>
    </row>
    <row r="29" spans="1:9" ht="15.7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>
      <c r="A30" s="164" t="s">
        <v>16</v>
      </c>
      <c r="B30" s="165">
        <f>DATE(18,7,1)</f>
        <v>6757</v>
      </c>
      <c r="C30" s="226">
        <v>111478358.27</v>
      </c>
      <c r="D30" s="226">
        <v>11381105.73</v>
      </c>
      <c r="E30" s="226">
        <v>12386204.68</v>
      </c>
      <c r="F30" s="166">
        <f>(+D30-E30)/E30</f>
        <v>-0.08114664467178814</v>
      </c>
      <c r="G30" s="241">
        <f>D30/C30</f>
        <v>0.10209251290223545</v>
      </c>
      <c r="H30" s="242">
        <f>1-G30</f>
        <v>0.8979074870977646</v>
      </c>
      <c r="I30" s="157"/>
    </row>
    <row r="31" spans="1:9" ht="15.75">
      <c r="A31" s="164"/>
      <c r="B31" s="165">
        <f>DATE(18,8,1)</f>
        <v>6788</v>
      </c>
      <c r="C31" s="226">
        <v>118354764.09</v>
      </c>
      <c r="D31" s="226">
        <v>11018606.25</v>
      </c>
      <c r="E31" s="226">
        <v>11735802.96</v>
      </c>
      <c r="F31" s="166">
        <f>(+D31-E31)/E31</f>
        <v>-0.0611118568064303</v>
      </c>
      <c r="G31" s="241">
        <f>D31/C31</f>
        <v>0.09309812186031792</v>
      </c>
      <c r="H31" s="242">
        <f>1-G31</f>
        <v>0.906901878139682</v>
      </c>
      <c r="I31" s="157"/>
    </row>
    <row r="32" spans="1:9" ht="15.75" thickBot="1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Bot="1" thickTop="1">
      <c r="A33" s="174" t="s">
        <v>14</v>
      </c>
      <c r="B33" s="175"/>
      <c r="C33" s="228">
        <f>SUM(C30:C32)</f>
        <v>229833122.36</v>
      </c>
      <c r="D33" s="230">
        <f>SUM(D30:D32)</f>
        <v>22399711.98</v>
      </c>
      <c r="E33" s="271">
        <f>SUM(E30:E32)</f>
        <v>24122007.64</v>
      </c>
      <c r="F33" s="272">
        <f>(+D33-E33)/E33</f>
        <v>-0.071399349743345</v>
      </c>
      <c r="G33" s="249">
        <f>D33/C33</f>
        <v>0.09746076522823427</v>
      </c>
      <c r="H33" s="270">
        <f>1-G33</f>
        <v>0.9025392347717658</v>
      </c>
      <c r="I33" s="157"/>
    </row>
    <row r="34" spans="1:9" ht="15.75" thickTop="1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>
      <c r="A35" s="164" t="s">
        <v>66</v>
      </c>
      <c r="B35" s="165">
        <f>DATE(18,7,1)</f>
        <v>6757</v>
      </c>
      <c r="C35" s="226">
        <v>43839500.54</v>
      </c>
      <c r="D35" s="226">
        <v>4536017.05</v>
      </c>
      <c r="E35" s="226">
        <v>4991725.48</v>
      </c>
      <c r="F35" s="166">
        <f>(+D35-E35)/E35</f>
        <v>-0.0912927667648904</v>
      </c>
      <c r="G35" s="241">
        <f>D35/C35</f>
        <v>0.10346872099651891</v>
      </c>
      <c r="H35" s="242">
        <f>1-G35</f>
        <v>0.8965312790034811</v>
      </c>
      <c r="I35" s="157"/>
    </row>
    <row r="36" spans="1:9" ht="15.75">
      <c r="A36" s="164"/>
      <c r="B36" s="165">
        <f>DATE(18,8,1)</f>
        <v>6788</v>
      </c>
      <c r="C36" s="226">
        <v>43029880.97</v>
      </c>
      <c r="D36" s="226">
        <v>4611969.17</v>
      </c>
      <c r="E36" s="226">
        <v>4592418.47</v>
      </c>
      <c r="F36" s="166">
        <f>(+D36-E36)/E36</f>
        <v>0.004257168663464632</v>
      </c>
      <c r="G36" s="241">
        <f>D36/C36</f>
        <v>0.1071806164933484</v>
      </c>
      <c r="H36" s="242">
        <f>1-G36</f>
        <v>0.8928193835066516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SUM(C35:C37)</f>
        <v>86869381.50999999</v>
      </c>
      <c r="D38" s="230">
        <f>SUM(D35:D37)</f>
        <v>9147986.219999999</v>
      </c>
      <c r="E38" s="271">
        <f>SUM(E35:E37)</f>
        <v>9584143.95</v>
      </c>
      <c r="F38" s="272">
        <f>(+D38-E38)/E38</f>
        <v>-0.04550826159074963</v>
      </c>
      <c r="G38" s="249">
        <f>D38/C38</f>
        <v>0.10530737137741594</v>
      </c>
      <c r="H38" s="270">
        <f>1-G38</f>
        <v>0.894692628622584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64" t="s">
        <v>17</v>
      </c>
      <c r="B40" s="165">
        <f>DATE(18,7,1)</f>
        <v>6757</v>
      </c>
      <c r="C40" s="226">
        <v>49505917.04</v>
      </c>
      <c r="D40" s="226">
        <v>5381167.31</v>
      </c>
      <c r="E40" s="226">
        <v>5822170.92</v>
      </c>
      <c r="F40" s="166">
        <f>(+D40-E40)/E40</f>
        <v>-0.07574556227559193</v>
      </c>
      <c r="G40" s="241">
        <f>D40/C40</f>
        <v>0.10869745743023206</v>
      </c>
      <c r="H40" s="242">
        <f>1-G40</f>
        <v>0.8913025425697679</v>
      </c>
      <c r="I40" s="157"/>
    </row>
    <row r="41" spans="1:9" ht="15.75">
      <c r="A41" s="164"/>
      <c r="B41" s="165">
        <f>DATE(18,8,1)</f>
        <v>6788</v>
      </c>
      <c r="C41" s="226">
        <v>49219766.57</v>
      </c>
      <c r="D41" s="226">
        <v>5291596.82</v>
      </c>
      <c r="E41" s="226">
        <v>5584923.33</v>
      </c>
      <c r="F41" s="166">
        <f>(+D41-E41)/E41</f>
        <v>-0.05252113460973864</v>
      </c>
      <c r="G41" s="241">
        <f>D41/C41</f>
        <v>0.10750958789035152</v>
      </c>
      <c r="H41" s="242">
        <f>1-G41</f>
        <v>0.8924904121096485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SUM(C40:C42)</f>
        <v>98725683.61</v>
      </c>
      <c r="D43" s="230">
        <f>SUM(D40:D42)</f>
        <v>10672764.129999999</v>
      </c>
      <c r="E43" s="271">
        <f>SUM(E40:E42)</f>
        <v>11407094.25</v>
      </c>
      <c r="F43" s="272">
        <f>(+D43-E43)/E43</f>
        <v>-0.06437486216088738</v>
      </c>
      <c r="G43" s="249">
        <f>D43/C43</f>
        <v>0.10810524414458395</v>
      </c>
      <c r="H43" s="270">
        <f>1-G43</f>
        <v>0.891894755855416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67</v>
      </c>
      <c r="B45" s="165">
        <f>DATE(18,7,1)</f>
        <v>6757</v>
      </c>
      <c r="C45" s="226">
        <v>116042592.23</v>
      </c>
      <c r="D45" s="226">
        <v>11368416.64</v>
      </c>
      <c r="E45" s="226">
        <v>10117966.68</v>
      </c>
      <c r="F45" s="166">
        <f>(+D45-E45)/E45</f>
        <v>0.12358708024525743</v>
      </c>
      <c r="G45" s="241">
        <f>D45/C45</f>
        <v>0.09796762052219109</v>
      </c>
      <c r="H45" s="242">
        <f>1-G45</f>
        <v>0.9020323794778089</v>
      </c>
      <c r="I45" s="157"/>
    </row>
    <row r="46" spans="1:9" ht="15.75">
      <c r="A46" s="164"/>
      <c r="B46" s="165">
        <f>DATE(18,8,1)</f>
        <v>6788</v>
      </c>
      <c r="C46" s="226">
        <v>116465353.84</v>
      </c>
      <c r="D46" s="226">
        <v>11900739.72</v>
      </c>
      <c r="E46" s="226">
        <v>10081520.41</v>
      </c>
      <c r="F46" s="166">
        <f>(+D46-E46)/E46</f>
        <v>0.18045088796284056</v>
      </c>
      <c r="G46" s="241">
        <f>D46/C46</f>
        <v>0.10218266057345454</v>
      </c>
      <c r="H46" s="242">
        <f>1-G46</f>
        <v>0.8978173394265454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SUM(C45:C47)</f>
        <v>232507946.07</v>
      </c>
      <c r="D48" s="230">
        <f>SUM(D45:D47)</f>
        <v>23269156.36</v>
      </c>
      <c r="E48" s="271">
        <f>SUM(E45:E47)</f>
        <v>20199487.09</v>
      </c>
      <c r="F48" s="176">
        <f>(+D48-E48)/E48</f>
        <v>0.15196768394776106</v>
      </c>
      <c r="G48" s="249">
        <f>D48/C48</f>
        <v>0.1000789725827025</v>
      </c>
      <c r="H48" s="270">
        <f>1-G48</f>
        <v>0.8999210274172975</v>
      </c>
      <c r="I48" s="157"/>
    </row>
    <row r="49" spans="1:9" ht="15.75" thickTop="1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>
      <c r="A50" s="164" t="s">
        <v>18</v>
      </c>
      <c r="B50" s="165">
        <f>DATE(18,7,1)</f>
        <v>6757</v>
      </c>
      <c r="C50" s="226">
        <v>150620962.91</v>
      </c>
      <c r="D50" s="226">
        <v>14900304.44</v>
      </c>
      <c r="E50" s="226">
        <v>13990899.67</v>
      </c>
      <c r="F50" s="166">
        <f>(+D50-E50)/E50</f>
        <v>0.06499973493127048</v>
      </c>
      <c r="G50" s="241">
        <f>D50/C50</f>
        <v>0.09892583443981383</v>
      </c>
      <c r="H50" s="242">
        <f>1-G50</f>
        <v>0.9010741655601862</v>
      </c>
      <c r="I50" s="157"/>
    </row>
    <row r="51" spans="1:9" ht="15.75">
      <c r="A51" s="164"/>
      <c r="B51" s="165">
        <f>DATE(18,8,1)</f>
        <v>6788</v>
      </c>
      <c r="C51" s="226">
        <v>151491190.93</v>
      </c>
      <c r="D51" s="226">
        <v>14829811.22</v>
      </c>
      <c r="E51" s="226">
        <v>13373041.55</v>
      </c>
      <c r="F51" s="166">
        <f>(+D51-E51)/E51</f>
        <v>0.10893330919172982</v>
      </c>
      <c r="G51" s="241">
        <f>D51/C51</f>
        <v>0.09789223471648893</v>
      </c>
      <c r="H51" s="242">
        <f>1-G51</f>
        <v>0.9021077652835111</v>
      </c>
      <c r="I51" s="157"/>
    </row>
    <row r="52" spans="1:9" ht="15.75" customHeight="1" thickBot="1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81"/>
      <c r="C53" s="228">
        <f>SUM(C50:C52)</f>
        <v>302112153.84000003</v>
      </c>
      <c r="D53" s="228">
        <f>SUM(D50:D52)</f>
        <v>29730115.66</v>
      </c>
      <c r="E53" s="228">
        <f>SUM(E50:E52)</f>
        <v>27363941.22</v>
      </c>
      <c r="F53" s="176">
        <f>(+D53-E53)/E53</f>
        <v>0.08647052780067335</v>
      </c>
      <c r="G53" s="245">
        <f>D53/C53</f>
        <v>0.09840754594648053</v>
      </c>
      <c r="H53" s="246">
        <f>1-G53</f>
        <v>0.9015924540535195</v>
      </c>
      <c r="I53" s="157"/>
    </row>
    <row r="54" spans="1:9" ht="15.75" thickTop="1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>
      <c r="A55" s="164" t="s">
        <v>58</v>
      </c>
      <c r="B55" s="165">
        <f>DATE(18,7,1)</f>
        <v>6757</v>
      </c>
      <c r="C55" s="226">
        <v>178050719.09</v>
      </c>
      <c r="D55" s="226">
        <v>16699225.8</v>
      </c>
      <c r="E55" s="226">
        <v>17449857.02</v>
      </c>
      <c r="F55" s="166">
        <f>(+D55-E55)/E55</f>
        <v>-0.0430164682231877</v>
      </c>
      <c r="G55" s="241">
        <f>D55/C55</f>
        <v>0.09378915112136658</v>
      </c>
      <c r="H55" s="242">
        <f>1-G55</f>
        <v>0.9062108488786335</v>
      </c>
      <c r="I55" s="157"/>
    </row>
    <row r="56" spans="1:9" ht="15.75">
      <c r="A56" s="164"/>
      <c r="B56" s="165">
        <f>DATE(18,8,1)</f>
        <v>6788</v>
      </c>
      <c r="C56" s="226">
        <v>177417877.38</v>
      </c>
      <c r="D56" s="226">
        <v>16622760.62</v>
      </c>
      <c r="E56" s="226">
        <v>16610228.17</v>
      </c>
      <c r="F56" s="166">
        <f>(+D56-E56)/E56</f>
        <v>0.0007545019774402807</v>
      </c>
      <c r="G56" s="241">
        <f>D56/C56</f>
        <v>0.09369270372002463</v>
      </c>
      <c r="H56" s="242">
        <f>1-G56</f>
        <v>0.9063072962799754</v>
      </c>
      <c r="I56" s="157"/>
    </row>
    <row r="57" spans="1:9" ht="15.75" thickBot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SUM(C55:C57)</f>
        <v>355468596.47</v>
      </c>
      <c r="D58" s="228">
        <f>SUM(D55:D57)</f>
        <v>33321986.42</v>
      </c>
      <c r="E58" s="228">
        <f>SUM(E55:E57)</f>
        <v>34060085.19</v>
      </c>
      <c r="F58" s="176">
        <f>(+D58-E58)/E58</f>
        <v>-0.02167049101265022</v>
      </c>
      <c r="G58" s="249">
        <f>D58/C58</f>
        <v>0.0937410132734812</v>
      </c>
      <c r="H58" s="270">
        <f>1-G58</f>
        <v>0.9062589867265188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59</v>
      </c>
      <c r="B60" s="165">
        <f>DATE(18,7,1)</f>
        <v>6757</v>
      </c>
      <c r="C60" s="226">
        <v>24024603.44</v>
      </c>
      <c r="D60" s="226">
        <v>2665233.29</v>
      </c>
      <c r="E60" s="226">
        <v>2744349.13</v>
      </c>
      <c r="F60" s="166">
        <f>(+D60-E60)/E60</f>
        <v>-0.028828635225431342</v>
      </c>
      <c r="G60" s="241">
        <f>D60/C60</f>
        <v>0.11093766008068602</v>
      </c>
      <c r="H60" s="242">
        <f>1-G60</f>
        <v>0.8890623399193139</v>
      </c>
      <c r="I60" s="157"/>
    </row>
    <row r="61" spans="1:9" ht="15.75">
      <c r="A61" s="164"/>
      <c r="B61" s="165">
        <f>DATE(18,8,1)</f>
        <v>6788</v>
      </c>
      <c r="C61" s="226">
        <v>22943875.77</v>
      </c>
      <c r="D61" s="226">
        <v>2551392.61</v>
      </c>
      <c r="E61" s="226">
        <v>2540959.26</v>
      </c>
      <c r="F61" s="166">
        <f>(+D61-E61)/E61</f>
        <v>0.004106067406999707</v>
      </c>
      <c r="G61" s="241">
        <f>D61/C61</f>
        <v>0.11120146550549423</v>
      </c>
      <c r="H61" s="242">
        <f>1-G61</f>
        <v>0.8887985344945057</v>
      </c>
      <c r="I61" s="157"/>
    </row>
    <row r="62" spans="1:9" ht="15.75" thickBot="1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Bot="1" thickTop="1">
      <c r="A63" s="182" t="s">
        <v>14</v>
      </c>
      <c r="B63" s="183"/>
      <c r="C63" s="230">
        <f>SUM(C60:C62)</f>
        <v>46968479.21</v>
      </c>
      <c r="D63" s="230">
        <f>SUM(D60:D62)</f>
        <v>5216625.9</v>
      </c>
      <c r="E63" s="230">
        <f>SUM(E60:E62)</f>
        <v>5285308.39</v>
      </c>
      <c r="F63" s="176">
        <f>(+D63-E63)/E63</f>
        <v>-0.012994982493348755</v>
      </c>
      <c r="G63" s="249">
        <f>D63/C63</f>
        <v>0.11106652775952207</v>
      </c>
      <c r="H63" s="246">
        <f>1-G63</f>
        <v>0.8889334722404779</v>
      </c>
      <c r="I63" s="157"/>
    </row>
    <row r="64" spans="1:9" ht="15.7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>
      <c r="A65" s="164" t="s">
        <v>40</v>
      </c>
      <c r="B65" s="165">
        <f>DATE(18,7,1)</f>
        <v>6757</v>
      </c>
      <c r="C65" s="226">
        <v>216736742.84</v>
      </c>
      <c r="D65" s="226">
        <v>19406302.42</v>
      </c>
      <c r="E65" s="226">
        <v>20250233.59</v>
      </c>
      <c r="F65" s="166">
        <f>(+D65-E65)/E65</f>
        <v>-0.04167513259781603</v>
      </c>
      <c r="G65" s="241">
        <f>D65/C65</f>
        <v>0.08953859029950531</v>
      </c>
      <c r="H65" s="242">
        <f>1-G65</f>
        <v>0.9104614097004947</v>
      </c>
      <c r="I65" s="157"/>
    </row>
    <row r="66" spans="1:9" ht="15.75">
      <c r="A66" s="164"/>
      <c r="B66" s="165">
        <f>DATE(18,8,1)</f>
        <v>6788</v>
      </c>
      <c r="C66" s="226">
        <v>217223700.98</v>
      </c>
      <c r="D66" s="226">
        <v>19632454.71</v>
      </c>
      <c r="E66" s="226">
        <v>18649872.98</v>
      </c>
      <c r="F66" s="166">
        <f>(+D66-E66)/E66</f>
        <v>0.05268570628088001</v>
      </c>
      <c r="G66" s="241">
        <f>D66/C66</f>
        <v>0.09037897163812517</v>
      </c>
      <c r="H66" s="242">
        <f>1-G66</f>
        <v>0.9096210283618749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SUM(C65:C67)</f>
        <v>433960443.82</v>
      </c>
      <c r="D68" s="228">
        <f>SUM(D65:D67)</f>
        <v>39038757.13</v>
      </c>
      <c r="E68" s="228">
        <f>SUM(E65:E67)</f>
        <v>38900106.57</v>
      </c>
      <c r="F68" s="176">
        <f>(+D68-E68)/E68</f>
        <v>0.0035642719834328308</v>
      </c>
      <c r="G68" s="245">
        <f>D68/C68</f>
        <v>0.08995925247553822</v>
      </c>
      <c r="H68" s="246">
        <f>1-G68</f>
        <v>0.9100407475244617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64</v>
      </c>
      <c r="B70" s="165">
        <f>DATE(18,7,1)</f>
        <v>6757</v>
      </c>
      <c r="C70" s="226">
        <v>30178966.07</v>
      </c>
      <c r="D70" s="226">
        <v>3425449</v>
      </c>
      <c r="E70" s="226">
        <v>3031134.15</v>
      </c>
      <c r="F70" s="166">
        <f>(+D70-E70)/E70</f>
        <v>0.13008822126859682</v>
      </c>
      <c r="G70" s="241">
        <f>D70/C70</f>
        <v>0.11350451808238506</v>
      </c>
      <c r="H70" s="242">
        <f>1-G70</f>
        <v>0.886495481917615</v>
      </c>
      <c r="I70" s="157"/>
    </row>
    <row r="71" spans="1:9" ht="15.75">
      <c r="A71" s="164"/>
      <c r="B71" s="165">
        <f>DATE(18,8,1)</f>
        <v>6788</v>
      </c>
      <c r="C71" s="226">
        <v>31687944.14</v>
      </c>
      <c r="D71" s="226">
        <v>3421840.59</v>
      </c>
      <c r="E71" s="226">
        <v>3021204.93</v>
      </c>
      <c r="F71" s="166">
        <f>(+D71-E71)/E71</f>
        <v>0.13260790621045349</v>
      </c>
      <c r="G71" s="241">
        <f>D71/C71</f>
        <v>0.10798556621035497</v>
      </c>
      <c r="H71" s="242">
        <f>1-G71</f>
        <v>0.8920144337896451</v>
      </c>
      <c r="I71" s="157"/>
    </row>
    <row r="72" spans="1:9" ht="15.75" thickBot="1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Bot="1" thickTop="1">
      <c r="A73" s="169" t="s">
        <v>14</v>
      </c>
      <c r="B73" s="155"/>
      <c r="C73" s="223">
        <f>SUM(C70:C72)</f>
        <v>61866910.21</v>
      </c>
      <c r="D73" s="223">
        <f>SUM(D70:D72)</f>
        <v>6847289.59</v>
      </c>
      <c r="E73" s="223">
        <f>SUM(E70:E72)</f>
        <v>6052339.08</v>
      </c>
      <c r="F73" s="176">
        <f>(+D73-E73)/E73</f>
        <v>0.1313459968934853</v>
      </c>
      <c r="G73" s="245">
        <f>D73/C73</f>
        <v>0.11067773655994255</v>
      </c>
      <c r="H73" s="246">
        <f>1-G73</f>
        <v>0.8893222634400575</v>
      </c>
      <c r="I73" s="157"/>
    </row>
    <row r="74" spans="1:9" ht="16.5" thickBot="1" thickTop="1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Bot="1" thickTop="1">
      <c r="A75" s="184" t="s">
        <v>41</v>
      </c>
      <c r="B75" s="155"/>
      <c r="C75" s="223">
        <f>C73+C68+C53+C43+C33+C23+C13+C28+C63+C18+C48+C58+C38</f>
        <v>2635669436.4400005</v>
      </c>
      <c r="D75" s="223">
        <f>D73+D68+D53+D43+D33+D23+D13+D28+D63+D18+D48+D58+D38</f>
        <v>257351846.37000003</v>
      </c>
      <c r="E75" s="223">
        <f>E73+E68+E53+E43+E33+E23+E13+E28+E63+E18+E48+E58+E38</f>
        <v>254371972.45</v>
      </c>
      <c r="F75" s="170">
        <f>(+D75-E75)/E75</f>
        <v>0.011714631495361692</v>
      </c>
      <c r="G75" s="236">
        <f>D75/C75</f>
        <v>0.09764192838901879</v>
      </c>
      <c r="H75" s="237">
        <f>1-G75</f>
        <v>0.9023580716109812</v>
      </c>
      <c r="I75" s="157"/>
    </row>
    <row r="76" spans="1:9" ht="17.25" thickBot="1" thickTop="1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Bot="1" thickTop="1">
      <c r="A77" s="184" t="s">
        <v>42</v>
      </c>
      <c r="B77" s="155"/>
      <c r="C77" s="223">
        <f>+C11+C16+C21+C26+C31+C36+C41+C46+C51+C56+C61+C66+C71</f>
        <v>1320754973.42</v>
      </c>
      <c r="D77" s="223">
        <f>+D11+D16+D21+D26+D31+D36+D41+D46+D51+D56+D61+D66+D71</f>
        <v>128778609.81</v>
      </c>
      <c r="E77" s="223">
        <f>+E11+E16+E21+E26+E31+E36+E41+E46+E51+E56+E61+E66+E71</f>
        <v>123629887.95000002</v>
      </c>
      <c r="F77" s="170">
        <f>(+D77-E77)/E77</f>
        <v>0.0416462551683481</v>
      </c>
      <c r="G77" s="236">
        <f>D77/C77</f>
        <v>0.09750378563900998</v>
      </c>
      <c r="H77" s="246">
        <f>1-G77</f>
        <v>0.90249621436099</v>
      </c>
      <c r="I77" s="157"/>
    </row>
    <row r="78" spans="1:9" ht="16.5" thickTop="1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>
      <c r="A79" s="188" t="s">
        <v>52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>
      <c r="A81" s="72"/>
      <c r="I8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2018-09-07T14:00:01Z</cp:lastPrinted>
  <dcterms:created xsi:type="dcterms:W3CDTF">2003-09-09T14:41:43Z</dcterms:created>
  <dcterms:modified xsi:type="dcterms:W3CDTF">2018-09-07T20:02:27Z</dcterms:modified>
  <cp:category/>
  <cp:version/>
  <cp:contentType/>
  <cp:contentStatus/>
</cp:coreProperties>
</file>