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STATS'!$A$1:$M$195</definedName>
    <definedName name="_xlnm.Print_Area" localSheetId="3">'SLOT STATS'!$A$1:$I$196</definedName>
    <definedName name="_xlnm.Print_Area" localSheetId="2">'TABLE STATS'!$A$1:$H$195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 calcMode="autoNoTable" fullCalcOnLoad="1" iterate="1" iterateCount="1" iterateDelta="0"/>
</workbook>
</file>

<file path=xl/calcChain.xml><?xml version="1.0" encoding="utf-8"?>
<calcChain xmlns="http://schemas.openxmlformats.org/spreadsheetml/2006/main">
  <c r="E194" i="4" l="1"/>
  <c r="D194" i="4"/>
  <c r="C194" i="4"/>
  <c r="F188" i="4"/>
  <c r="G188" i="4"/>
  <c r="H188" i="4"/>
  <c r="F174" i="4"/>
  <c r="G174" i="4"/>
  <c r="H174" i="4"/>
  <c r="F160" i="4"/>
  <c r="G160" i="4"/>
  <c r="H160" i="4"/>
  <c r="F146" i="4"/>
  <c r="G146" i="4"/>
  <c r="H146" i="4"/>
  <c r="F132" i="4"/>
  <c r="G132" i="4"/>
  <c r="H132" i="4"/>
  <c r="F118" i="4"/>
  <c r="G118" i="4"/>
  <c r="H118" i="4"/>
  <c r="F104" i="4"/>
  <c r="G104" i="4"/>
  <c r="H104" i="4"/>
  <c r="F90" i="4"/>
  <c r="G90" i="4"/>
  <c r="H90" i="4"/>
  <c r="F76" i="4"/>
  <c r="G76" i="4"/>
  <c r="H76" i="4"/>
  <c r="F62" i="4"/>
  <c r="G62" i="4"/>
  <c r="H62" i="4"/>
  <c r="F48" i="4"/>
  <c r="G48" i="4"/>
  <c r="H48" i="4"/>
  <c r="F34" i="4"/>
  <c r="G34" i="4"/>
  <c r="H34" i="4"/>
  <c r="F20" i="4"/>
  <c r="G20" i="4"/>
  <c r="H20" i="4"/>
  <c r="B188" i="4"/>
  <c r="B174" i="4"/>
  <c r="B160" i="4"/>
  <c r="B146" i="4"/>
  <c r="B132" i="4"/>
  <c r="B118" i="4"/>
  <c r="B104" i="4"/>
  <c r="B90" i="4"/>
  <c r="B76" i="4"/>
  <c r="B62" i="4"/>
  <c r="B48" i="4"/>
  <c r="B34" i="4"/>
  <c r="B20" i="4"/>
  <c r="E193" i="3"/>
  <c r="D193" i="3"/>
  <c r="C193" i="3"/>
  <c r="F187" i="3"/>
  <c r="G187" i="3"/>
  <c r="F173" i="3"/>
  <c r="G173" i="3"/>
  <c r="F159" i="3"/>
  <c r="G159" i="3"/>
  <c r="F145" i="3"/>
  <c r="G145" i="3"/>
  <c r="F131" i="3"/>
  <c r="G131" i="3"/>
  <c r="F117" i="3"/>
  <c r="G117" i="3"/>
  <c r="F103" i="3"/>
  <c r="G103" i="3"/>
  <c r="F89" i="3"/>
  <c r="G89" i="3"/>
  <c r="F75" i="3"/>
  <c r="G75" i="3"/>
  <c r="F61" i="3"/>
  <c r="G61" i="3"/>
  <c r="F47" i="3"/>
  <c r="G47" i="3"/>
  <c r="F33" i="3"/>
  <c r="G33" i="3"/>
  <c r="F19" i="3"/>
  <c r="G19" i="3"/>
  <c r="B187" i="3"/>
  <c r="B173" i="3"/>
  <c r="B159" i="3"/>
  <c r="B145" i="3"/>
  <c r="B131" i="3"/>
  <c r="B117" i="3"/>
  <c r="B103" i="3"/>
  <c r="B89" i="3"/>
  <c r="B75" i="3"/>
  <c r="B61" i="3"/>
  <c r="B47" i="3"/>
  <c r="B33" i="3"/>
  <c r="B19" i="3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41" i="2"/>
  <c r="A20" i="2"/>
  <c r="F46" i="1"/>
  <c r="F113" i="1"/>
  <c r="L193" i="1"/>
  <c r="K193" i="1"/>
  <c r="G193" i="1"/>
  <c r="F193" i="1"/>
  <c r="D193" i="1"/>
  <c r="C193" i="1"/>
  <c r="H187" i="1"/>
  <c r="M187" i="1"/>
  <c r="I187" i="1"/>
  <c r="J187" i="1"/>
  <c r="G187" i="1"/>
  <c r="F187" i="1"/>
  <c r="E187" i="1"/>
  <c r="H173" i="1"/>
  <c r="M173" i="1"/>
  <c r="I173" i="1"/>
  <c r="J173" i="1"/>
  <c r="G173" i="1"/>
  <c r="F173" i="1"/>
  <c r="E173" i="1"/>
  <c r="H159" i="1"/>
  <c r="M159" i="1"/>
  <c r="I159" i="1"/>
  <c r="J159" i="1"/>
  <c r="G159" i="1"/>
  <c r="F159" i="1"/>
  <c r="E159" i="1"/>
  <c r="H145" i="1"/>
  <c r="M145" i="1"/>
  <c r="I145" i="1"/>
  <c r="J145" i="1"/>
  <c r="G145" i="1"/>
  <c r="F145" i="1"/>
  <c r="E145" i="1"/>
  <c r="H131" i="1"/>
  <c r="M131" i="1"/>
  <c r="I131" i="1"/>
  <c r="J131" i="1"/>
  <c r="G131" i="1"/>
  <c r="F131" i="1"/>
  <c r="E131" i="1"/>
  <c r="H117" i="1"/>
  <c r="M117" i="1"/>
  <c r="I117" i="1"/>
  <c r="J117" i="1"/>
  <c r="G117" i="1"/>
  <c r="F117" i="1"/>
  <c r="E117" i="1"/>
  <c r="H103" i="1"/>
  <c r="M103" i="1"/>
  <c r="I103" i="1"/>
  <c r="J103" i="1"/>
  <c r="G103" i="1"/>
  <c r="F103" i="1"/>
  <c r="E103" i="1"/>
  <c r="H89" i="1"/>
  <c r="M89" i="1"/>
  <c r="I89" i="1"/>
  <c r="J89" i="1"/>
  <c r="G89" i="1"/>
  <c r="F89" i="1"/>
  <c r="E89" i="1"/>
  <c r="H75" i="1"/>
  <c r="M75" i="1"/>
  <c r="I75" i="1"/>
  <c r="J75" i="1"/>
  <c r="G75" i="1"/>
  <c r="F75" i="1"/>
  <c r="E75" i="1"/>
  <c r="H61" i="1"/>
  <c r="M61" i="1"/>
  <c r="I61" i="1"/>
  <c r="J61" i="1"/>
  <c r="G61" i="1"/>
  <c r="F61" i="1"/>
  <c r="E61" i="1"/>
  <c r="H47" i="1"/>
  <c r="M47" i="1"/>
  <c r="I47" i="1"/>
  <c r="J47" i="1"/>
  <c r="G47" i="1"/>
  <c r="F47" i="1"/>
  <c r="E47" i="1"/>
  <c r="H33" i="1"/>
  <c r="M33" i="1"/>
  <c r="I33" i="1"/>
  <c r="J33" i="1"/>
  <c r="G33" i="1"/>
  <c r="F33" i="1"/>
  <c r="E33" i="1"/>
  <c r="H19" i="1"/>
  <c r="M19" i="1"/>
  <c r="I19" i="1"/>
  <c r="J19" i="1"/>
  <c r="G19" i="1"/>
  <c r="F19" i="1"/>
  <c r="E19" i="1"/>
  <c r="B187" i="1"/>
  <c r="B173" i="1"/>
  <c r="B159" i="1"/>
  <c r="B145" i="1"/>
  <c r="B131" i="1"/>
  <c r="B117" i="1"/>
  <c r="B103" i="1"/>
  <c r="B89" i="1"/>
  <c r="B75" i="1"/>
  <c r="B61" i="1"/>
  <c r="B47" i="1"/>
  <c r="B33" i="1"/>
  <c r="B19" i="1"/>
  <c r="F187" i="4"/>
  <c r="G187" i="4"/>
  <c r="H187" i="4"/>
  <c r="F173" i="4"/>
  <c r="G173" i="4"/>
  <c r="H173" i="4"/>
  <c r="F159" i="4"/>
  <c r="G159" i="4"/>
  <c r="H159" i="4"/>
  <c r="F145" i="4"/>
  <c r="G145" i="4"/>
  <c r="H145" i="4"/>
  <c r="F131" i="4"/>
  <c r="G131" i="4"/>
  <c r="H131" i="4"/>
  <c r="F117" i="4"/>
  <c r="G117" i="4"/>
  <c r="H117" i="4"/>
  <c r="F103" i="4"/>
  <c r="G103" i="4"/>
  <c r="H103" i="4"/>
  <c r="F89" i="4"/>
  <c r="G89" i="4"/>
  <c r="H89" i="4"/>
  <c r="F75" i="4"/>
  <c r="G75" i="4"/>
  <c r="H75" i="4"/>
  <c r="F61" i="4"/>
  <c r="G61" i="4"/>
  <c r="H61" i="4"/>
  <c r="F47" i="4"/>
  <c r="G47" i="4"/>
  <c r="H47" i="4"/>
  <c r="F33" i="4"/>
  <c r="G33" i="4"/>
  <c r="H33" i="4"/>
  <c r="F19" i="4"/>
  <c r="G19" i="4"/>
  <c r="H19" i="4"/>
  <c r="B187" i="4"/>
  <c r="B173" i="4"/>
  <c r="B159" i="4"/>
  <c r="B145" i="4"/>
  <c r="B131" i="4"/>
  <c r="B117" i="4"/>
  <c r="B103" i="4"/>
  <c r="B89" i="4"/>
  <c r="B75" i="4"/>
  <c r="B61" i="4"/>
  <c r="B47" i="4"/>
  <c r="B33" i="4"/>
  <c r="B19" i="4"/>
  <c r="F186" i="3"/>
  <c r="G186" i="3"/>
  <c r="F172" i="3"/>
  <c r="G172" i="3"/>
  <c r="F158" i="3"/>
  <c r="G158" i="3"/>
  <c r="F144" i="3"/>
  <c r="G144" i="3"/>
  <c r="F130" i="3"/>
  <c r="G130" i="3"/>
  <c r="F116" i="3"/>
  <c r="G116" i="3"/>
  <c r="F102" i="3"/>
  <c r="G102" i="3"/>
  <c r="F88" i="3"/>
  <c r="G88" i="3"/>
  <c r="F74" i="3"/>
  <c r="G74" i="3"/>
  <c r="F60" i="3"/>
  <c r="G60" i="3"/>
  <c r="F46" i="3"/>
  <c r="G46" i="3"/>
  <c r="F32" i="3"/>
  <c r="G32" i="3"/>
  <c r="F18" i="3"/>
  <c r="G18" i="3"/>
  <c r="B186" i="3"/>
  <c r="B172" i="3"/>
  <c r="B158" i="3"/>
  <c r="B144" i="3"/>
  <c r="B130" i="3"/>
  <c r="B116" i="3"/>
  <c r="B102" i="3"/>
  <c r="B88" i="3"/>
  <c r="B74" i="3"/>
  <c r="B60" i="3"/>
  <c r="B46" i="3"/>
  <c r="B32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40" i="2"/>
  <c r="A19" i="2"/>
  <c r="F45" i="1"/>
  <c r="F44" i="1"/>
  <c r="F111" i="1"/>
  <c r="F112" i="1"/>
  <c r="F171" i="1"/>
  <c r="G71" i="1"/>
  <c r="H186" i="1"/>
  <c r="M186" i="1"/>
  <c r="I186" i="1"/>
  <c r="J186" i="1"/>
  <c r="G186" i="1"/>
  <c r="F186" i="1"/>
  <c r="E186" i="1"/>
  <c r="H172" i="1"/>
  <c r="M172" i="1"/>
  <c r="I172" i="1"/>
  <c r="J172" i="1"/>
  <c r="G172" i="1"/>
  <c r="F172" i="1"/>
  <c r="E172" i="1"/>
  <c r="H158" i="1"/>
  <c r="M158" i="1"/>
  <c r="I158" i="1"/>
  <c r="J158" i="1"/>
  <c r="G158" i="1"/>
  <c r="F158" i="1"/>
  <c r="E158" i="1"/>
  <c r="H144" i="1"/>
  <c r="M144" i="1"/>
  <c r="I144" i="1"/>
  <c r="J144" i="1"/>
  <c r="G144" i="1"/>
  <c r="F144" i="1"/>
  <c r="E144" i="1"/>
  <c r="H130" i="1"/>
  <c r="M130" i="1"/>
  <c r="I130" i="1"/>
  <c r="J130" i="1"/>
  <c r="G130" i="1"/>
  <c r="F130" i="1"/>
  <c r="E130" i="1"/>
  <c r="H116" i="1"/>
  <c r="M116" i="1"/>
  <c r="I116" i="1"/>
  <c r="J116" i="1"/>
  <c r="G116" i="1"/>
  <c r="F116" i="1"/>
  <c r="E116" i="1"/>
  <c r="H102" i="1"/>
  <c r="M102" i="1"/>
  <c r="I102" i="1"/>
  <c r="J102" i="1"/>
  <c r="G102" i="1"/>
  <c r="F102" i="1"/>
  <c r="E102" i="1"/>
  <c r="H88" i="1"/>
  <c r="M88" i="1"/>
  <c r="I88" i="1"/>
  <c r="J88" i="1"/>
  <c r="G88" i="1"/>
  <c r="F88" i="1"/>
  <c r="E88" i="1"/>
  <c r="H74" i="1"/>
  <c r="M74" i="1"/>
  <c r="I74" i="1"/>
  <c r="J74" i="1"/>
  <c r="G74" i="1"/>
  <c r="F74" i="1"/>
  <c r="E74" i="1"/>
  <c r="H60" i="1"/>
  <c r="M60" i="1"/>
  <c r="I60" i="1"/>
  <c r="J60" i="1"/>
  <c r="G60" i="1"/>
  <c r="F60" i="1"/>
  <c r="E60" i="1"/>
  <c r="M46" i="1"/>
  <c r="I46" i="1"/>
  <c r="J46" i="1"/>
  <c r="G46" i="1"/>
  <c r="H46" i="1"/>
  <c r="E46" i="1"/>
  <c r="H32" i="1"/>
  <c r="M32" i="1"/>
  <c r="I32" i="1"/>
  <c r="J32" i="1"/>
  <c r="G32" i="1"/>
  <c r="F32" i="1"/>
  <c r="E32" i="1"/>
  <c r="H18" i="1"/>
  <c r="M18" i="1"/>
  <c r="I18" i="1"/>
  <c r="J18" i="1"/>
  <c r="G18" i="1"/>
  <c r="F18" i="1"/>
  <c r="E18" i="1"/>
  <c r="B186" i="1"/>
  <c r="B172" i="1"/>
  <c r="B158" i="1"/>
  <c r="B144" i="1"/>
  <c r="B130" i="1"/>
  <c r="B116" i="1"/>
  <c r="B102" i="1"/>
  <c r="B88" i="1"/>
  <c r="B74" i="1"/>
  <c r="B60" i="1"/>
  <c r="B46" i="1"/>
  <c r="B32" i="1"/>
  <c r="B18" i="1"/>
  <c r="F186" i="4"/>
  <c r="G186" i="4"/>
  <c r="H186" i="4"/>
  <c r="F172" i="4"/>
  <c r="G172" i="4"/>
  <c r="H172" i="4"/>
  <c r="F158" i="4"/>
  <c r="G158" i="4"/>
  <c r="H158" i="4"/>
  <c r="F144" i="4"/>
  <c r="G144" i="4"/>
  <c r="H144" i="4"/>
  <c r="F130" i="4"/>
  <c r="G130" i="4"/>
  <c r="H130" i="4"/>
  <c r="F116" i="4"/>
  <c r="G116" i="4"/>
  <c r="H116" i="4"/>
  <c r="F102" i="4"/>
  <c r="G102" i="4"/>
  <c r="H102" i="4"/>
  <c r="F88" i="4"/>
  <c r="G88" i="4"/>
  <c r="H88" i="4"/>
  <c r="F74" i="4"/>
  <c r="G74" i="4"/>
  <c r="H74" i="4"/>
  <c r="F60" i="4"/>
  <c r="G60" i="4"/>
  <c r="H60" i="4"/>
  <c r="F46" i="4"/>
  <c r="G46" i="4"/>
  <c r="H46" i="4"/>
  <c r="F32" i="4"/>
  <c r="G32" i="4"/>
  <c r="H32" i="4"/>
  <c r="F18" i="4"/>
  <c r="G18" i="4"/>
  <c r="H18" i="4"/>
  <c r="B186" i="4"/>
  <c r="B172" i="4"/>
  <c r="B158" i="4"/>
  <c r="B144" i="4"/>
  <c r="B130" i="4"/>
  <c r="B116" i="4"/>
  <c r="B102" i="4"/>
  <c r="B88" i="4"/>
  <c r="B74" i="4"/>
  <c r="B60" i="4"/>
  <c r="B46" i="4"/>
  <c r="B32" i="4"/>
  <c r="B18" i="4"/>
  <c r="F185" i="3"/>
  <c r="G185" i="3"/>
  <c r="F171" i="3"/>
  <c r="G171" i="3"/>
  <c r="F157" i="3"/>
  <c r="G157" i="3"/>
  <c r="F143" i="3"/>
  <c r="G143" i="3"/>
  <c r="F129" i="3"/>
  <c r="G129" i="3"/>
  <c r="F115" i="3"/>
  <c r="G115" i="3"/>
  <c r="F101" i="3"/>
  <c r="G101" i="3"/>
  <c r="F87" i="3"/>
  <c r="G87" i="3"/>
  <c r="F73" i="3"/>
  <c r="G73" i="3"/>
  <c r="F59" i="3"/>
  <c r="G59" i="3"/>
  <c r="F45" i="3"/>
  <c r="G45" i="3"/>
  <c r="F31" i="3"/>
  <c r="G31" i="3"/>
  <c r="F17" i="3"/>
  <c r="G17" i="3"/>
  <c r="B185" i="3"/>
  <c r="B171" i="3"/>
  <c r="B157" i="3"/>
  <c r="B143" i="3"/>
  <c r="B129" i="3"/>
  <c r="B115" i="3"/>
  <c r="B101" i="3"/>
  <c r="B87" i="3"/>
  <c r="B73" i="3"/>
  <c r="B59" i="3"/>
  <c r="B45" i="3"/>
  <c r="B31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F109" i="1"/>
  <c r="F108" i="1"/>
  <c r="F127" i="1"/>
  <c r="F126" i="1"/>
  <c r="G110" i="1"/>
  <c r="G109" i="1"/>
  <c r="G108" i="1"/>
  <c r="H185" i="1"/>
  <c r="M185" i="1"/>
  <c r="I185" i="1"/>
  <c r="J185" i="1"/>
  <c r="G185" i="1"/>
  <c r="F185" i="1"/>
  <c r="E185" i="1"/>
  <c r="H171" i="1"/>
  <c r="M171" i="1"/>
  <c r="I171" i="1"/>
  <c r="G171" i="1"/>
  <c r="J171" i="1"/>
  <c r="E171" i="1"/>
  <c r="H157" i="1"/>
  <c r="M157" i="1"/>
  <c r="I157" i="1"/>
  <c r="J157" i="1"/>
  <c r="G157" i="1"/>
  <c r="F157" i="1"/>
  <c r="E157" i="1"/>
  <c r="H143" i="1"/>
  <c r="M143" i="1"/>
  <c r="I143" i="1"/>
  <c r="J143" i="1"/>
  <c r="G143" i="1"/>
  <c r="F143" i="1"/>
  <c r="E143" i="1"/>
  <c r="H129" i="1"/>
  <c r="M129" i="1"/>
  <c r="I129" i="1"/>
  <c r="J129" i="1"/>
  <c r="G129" i="1"/>
  <c r="F129" i="1"/>
  <c r="E129" i="1"/>
  <c r="H115" i="1"/>
  <c r="M115" i="1"/>
  <c r="I115" i="1"/>
  <c r="J115" i="1"/>
  <c r="G115" i="1"/>
  <c r="F115" i="1"/>
  <c r="E115" i="1"/>
  <c r="H101" i="1"/>
  <c r="M101" i="1"/>
  <c r="I101" i="1"/>
  <c r="J101" i="1"/>
  <c r="G101" i="1"/>
  <c r="F101" i="1"/>
  <c r="E101" i="1"/>
  <c r="H87" i="1"/>
  <c r="M87" i="1"/>
  <c r="I87" i="1"/>
  <c r="J87" i="1"/>
  <c r="G87" i="1"/>
  <c r="F87" i="1"/>
  <c r="E87" i="1"/>
  <c r="H73" i="1"/>
  <c r="M73" i="1"/>
  <c r="I73" i="1"/>
  <c r="J73" i="1"/>
  <c r="G73" i="1"/>
  <c r="F73" i="1"/>
  <c r="E73" i="1"/>
  <c r="H59" i="1"/>
  <c r="M59" i="1"/>
  <c r="I59" i="1"/>
  <c r="J59" i="1"/>
  <c r="G59" i="1"/>
  <c r="F59" i="1"/>
  <c r="E59" i="1"/>
  <c r="M45" i="1"/>
  <c r="I45" i="1"/>
  <c r="G45" i="1"/>
  <c r="J45" i="1"/>
  <c r="E45" i="1"/>
  <c r="H31" i="1"/>
  <c r="M31" i="1"/>
  <c r="I31" i="1"/>
  <c r="J31" i="1"/>
  <c r="G31" i="1"/>
  <c r="F31" i="1"/>
  <c r="E31" i="1"/>
  <c r="H17" i="1"/>
  <c r="M17" i="1"/>
  <c r="I17" i="1"/>
  <c r="J17" i="1"/>
  <c r="G17" i="1"/>
  <c r="F17" i="1"/>
  <c r="E17" i="1"/>
  <c r="B185" i="1"/>
  <c r="B171" i="1"/>
  <c r="B157" i="1"/>
  <c r="B143" i="1"/>
  <c r="B129" i="1"/>
  <c r="B115" i="1"/>
  <c r="B101" i="1"/>
  <c r="B87" i="1"/>
  <c r="B73" i="1"/>
  <c r="B59" i="1"/>
  <c r="B45" i="1"/>
  <c r="B31" i="1"/>
  <c r="B17" i="1"/>
  <c r="F185" i="4"/>
  <c r="G185" i="4"/>
  <c r="H185" i="4"/>
  <c r="F171" i="4"/>
  <c r="G171" i="4"/>
  <c r="H171" i="4"/>
  <c r="F157" i="4"/>
  <c r="G157" i="4"/>
  <c r="H157" i="4"/>
  <c r="F143" i="4"/>
  <c r="G143" i="4"/>
  <c r="H143" i="4"/>
  <c r="F129" i="4"/>
  <c r="G129" i="4"/>
  <c r="H129" i="4"/>
  <c r="F115" i="4"/>
  <c r="G115" i="4"/>
  <c r="H115" i="4"/>
  <c r="F101" i="4"/>
  <c r="G101" i="4"/>
  <c r="H101" i="4"/>
  <c r="F87" i="4"/>
  <c r="G87" i="4"/>
  <c r="H87" i="4"/>
  <c r="F73" i="4"/>
  <c r="G73" i="4"/>
  <c r="H73" i="4"/>
  <c r="F59" i="4"/>
  <c r="G59" i="4"/>
  <c r="H59" i="4"/>
  <c r="F45" i="4"/>
  <c r="G45" i="4"/>
  <c r="H45" i="4"/>
  <c r="F31" i="4"/>
  <c r="G31" i="4"/>
  <c r="H31" i="4"/>
  <c r="F17" i="4"/>
  <c r="G17" i="4"/>
  <c r="H17" i="4"/>
  <c r="B185" i="4"/>
  <c r="B171" i="4"/>
  <c r="B157" i="4"/>
  <c r="B143" i="4"/>
  <c r="B129" i="4"/>
  <c r="B115" i="4"/>
  <c r="B101" i="4"/>
  <c r="B87" i="4"/>
  <c r="B73" i="4"/>
  <c r="B59" i="4"/>
  <c r="B45" i="4"/>
  <c r="B31" i="4"/>
  <c r="B17" i="4"/>
  <c r="F184" i="3"/>
  <c r="G184" i="3"/>
  <c r="F170" i="3"/>
  <c r="G170" i="3"/>
  <c r="F156" i="3"/>
  <c r="G156" i="3"/>
  <c r="F142" i="3"/>
  <c r="G142" i="3"/>
  <c r="F128" i="3"/>
  <c r="G128" i="3"/>
  <c r="F114" i="3"/>
  <c r="G114" i="3"/>
  <c r="F100" i="3"/>
  <c r="G100" i="3"/>
  <c r="F86" i="3"/>
  <c r="G86" i="3"/>
  <c r="F72" i="3"/>
  <c r="G72" i="3"/>
  <c r="F58" i="3"/>
  <c r="G58" i="3"/>
  <c r="F44" i="3"/>
  <c r="G44" i="3"/>
  <c r="F30" i="3"/>
  <c r="G30" i="3"/>
  <c r="F16" i="3"/>
  <c r="G16" i="3"/>
  <c r="B184" i="3"/>
  <c r="B170" i="3"/>
  <c r="B156" i="3"/>
  <c r="B142" i="3"/>
  <c r="B128" i="3"/>
  <c r="B114" i="3"/>
  <c r="B100" i="3"/>
  <c r="B86" i="3"/>
  <c r="B72" i="3"/>
  <c r="B58" i="3"/>
  <c r="B44" i="3"/>
  <c r="B30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38" i="2"/>
  <c r="A17" i="2"/>
  <c r="F15" i="1"/>
  <c r="F43" i="1"/>
  <c r="F85" i="1"/>
  <c r="F139" i="1"/>
  <c r="F183" i="1"/>
  <c r="H184" i="1"/>
  <c r="M184" i="1"/>
  <c r="I184" i="1"/>
  <c r="J184" i="1"/>
  <c r="G184" i="1"/>
  <c r="F184" i="1"/>
  <c r="E184" i="1"/>
  <c r="M170" i="1"/>
  <c r="I170" i="1"/>
  <c r="J170" i="1"/>
  <c r="G170" i="1"/>
  <c r="F170" i="1"/>
  <c r="H170" i="1"/>
  <c r="E170" i="1"/>
  <c r="H156" i="1"/>
  <c r="M156" i="1"/>
  <c r="I156" i="1"/>
  <c r="J156" i="1"/>
  <c r="G156" i="1"/>
  <c r="F156" i="1"/>
  <c r="E156" i="1"/>
  <c r="H142" i="1"/>
  <c r="M142" i="1"/>
  <c r="I142" i="1"/>
  <c r="J142" i="1"/>
  <c r="G142" i="1"/>
  <c r="F142" i="1"/>
  <c r="E142" i="1"/>
  <c r="H128" i="1"/>
  <c r="M128" i="1"/>
  <c r="I128" i="1"/>
  <c r="J128" i="1"/>
  <c r="G128" i="1"/>
  <c r="F128" i="1"/>
  <c r="E128" i="1"/>
  <c r="H114" i="1"/>
  <c r="M114" i="1"/>
  <c r="I114" i="1"/>
  <c r="J114" i="1"/>
  <c r="G114" i="1"/>
  <c r="F114" i="1"/>
  <c r="E114" i="1"/>
  <c r="H100" i="1"/>
  <c r="M100" i="1"/>
  <c r="I100" i="1"/>
  <c r="J100" i="1"/>
  <c r="G100" i="1"/>
  <c r="F100" i="1"/>
  <c r="E100" i="1"/>
  <c r="H86" i="1"/>
  <c r="M86" i="1"/>
  <c r="I86" i="1"/>
  <c r="J86" i="1"/>
  <c r="G86" i="1"/>
  <c r="F86" i="1"/>
  <c r="E86" i="1"/>
  <c r="H72" i="1"/>
  <c r="M72" i="1"/>
  <c r="I72" i="1"/>
  <c r="J72" i="1"/>
  <c r="G72" i="1"/>
  <c r="F72" i="1"/>
  <c r="E72" i="1"/>
  <c r="H58" i="1"/>
  <c r="M58" i="1"/>
  <c r="I58" i="1"/>
  <c r="J58" i="1"/>
  <c r="G58" i="1"/>
  <c r="F58" i="1"/>
  <c r="E58" i="1"/>
  <c r="M44" i="1"/>
  <c r="I44" i="1"/>
  <c r="G44" i="1"/>
  <c r="J44" i="1"/>
  <c r="E44" i="1"/>
  <c r="H30" i="1"/>
  <c r="M30" i="1"/>
  <c r="I30" i="1"/>
  <c r="J30" i="1"/>
  <c r="G30" i="1"/>
  <c r="F30" i="1"/>
  <c r="E30" i="1"/>
  <c r="H16" i="1"/>
  <c r="M16" i="1"/>
  <c r="I16" i="1"/>
  <c r="J16" i="1"/>
  <c r="G16" i="1"/>
  <c r="F16" i="1"/>
  <c r="E16" i="1"/>
  <c r="B184" i="1"/>
  <c r="B170" i="1"/>
  <c r="B156" i="1"/>
  <c r="B142" i="1"/>
  <c r="B128" i="1"/>
  <c r="B114" i="1"/>
  <c r="B100" i="1"/>
  <c r="B86" i="1"/>
  <c r="B72" i="1"/>
  <c r="B58" i="1"/>
  <c r="B44" i="1"/>
  <c r="B30" i="1"/>
  <c r="B16" i="1"/>
  <c r="F184" i="4"/>
  <c r="G184" i="4"/>
  <c r="H184" i="4"/>
  <c r="F170" i="4"/>
  <c r="G170" i="4"/>
  <c r="H170" i="4"/>
  <c r="F156" i="4"/>
  <c r="G156" i="4"/>
  <c r="H156" i="4"/>
  <c r="F142" i="4"/>
  <c r="G142" i="4"/>
  <c r="H142" i="4"/>
  <c r="F128" i="4"/>
  <c r="G128" i="4"/>
  <c r="H128" i="4"/>
  <c r="F114" i="4"/>
  <c r="G114" i="4"/>
  <c r="H114" i="4"/>
  <c r="F100" i="4"/>
  <c r="G100" i="4"/>
  <c r="H100" i="4"/>
  <c r="F86" i="4"/>
  <c r="G86" i="4"/>
  <c r="H86" i="4"/>
  <c r="F72" i="4"/>
  <c r="G72" i="4"/>
  <c r="H72" i="4"/>
  <c r="F58" i="4"/>
  <c r="G58" i="4"/>
  <c r="H58" i="4"/>
  <c r="F44" i="4"/>
  <c r="G44" i="4"/>
  <c r="H44" i="4"/>
  <c r="F30" i="4"/>
  <c r="G30" i="4"/>
  <c r="H30" i="4"/>
  <c r="F16" i="4"/>
  <c r="G16" i="4"/>
  <c r="H16" i="4"/>
  <c r="B184" i="4"/>
  <c r="B170" i="4"/>
  <c r="B156" i="4"/>
  <c r="B142" i="4"/>
  <c r="B128" i="4"/>
  <c r="B114" i="4"/>
  <c r="B100" i="4"/>
  <c r="B86" i="4"/>
  <c r="B72" i="4"/>
  <c r="B58" i="4"/>
  <c r="B44" i="4"/>
  <c r="B30" i="4"/>
  <c r="B16" i="4"/>
  <c r="F183" i="3"/>
  <c r="G183" i="3"/>
  <c r="F169" i="3"/>
  <c r="G169" i="3"/>
  <c r="F155" i="3"/>
  <c r="G155" i="3"/>
  <c r="F141" i="3"/>
  <c r="G141" i="3"/>
  <c r="F127" i="3"/>
  <c r="G127" i="3"/>
  <c r="F113" i="3"/>
  <c r="G113" i="3"/>
  <c r="F99" i="3"/>
  <c r="G99" i="3"/>
  <c r="F85" i="3"/>
  <c r="G85" i="3"/>
  <c r="F71" i="3"/>
  <c r="G71" i="3"/>
  <c r="F57" i="3"/>
  <c r="G57" i="3"/>
  <c r="F43" i="3"/>
  <c r="G43" i="3"/>
  <c r="F29" i="3"/>
  <c r="G29" i="3"/>
  <c r="F15" i="3"/>
  <c r="G15" i="3"/>
  <c r="B183" i="3"/>
  <c r="B169" i="3"/>
  <c r="B155" i="3"/>
  <c r="B141" i="3"/>
  <c r="B127" i="3"/>
  <c r="B113" i="3"/>
  <c r="B99" i="3"/>
  <c r="B85" i="3"/>
  <c r="B71" i="3"/>
  <c r="B57" i="3"/>
  <c r="B43" i="3"/>
  <c r="B29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F23" i="1"/>
  <c r="J109" i="1"/>
  <c r="F163" i="1"/>
  <c r="F164" i="1"/>
  <c r="H164" i="1"/>
  <c r="M183" i="1"/>
  <c r="I183" i="1"/>
  <c r="G183" i="1"/>
  <c r="J183" i="1"/>
  <c r="E183" i="1"/>
  <c r="M169" i="1"/>
  <c r="I169" i="1"/>
  <c r="G169" i="1"/>
  <c r="F169" i="1"/>
  <c r="H169" i="1"/>
  <c r="E169" i="1"/>
  <c r="M155" i="1"/>
  <c r="I155" i="1"/>
  <c r="J155" i="1"/>
  <c r="G155" i="1"/>
  <c r="H155" i="1"/>
  <c r="F155" i="1"/>
  <c r="E155" i="1"/>
  <c r="M141" i="1"/>
  <c r="I141" i="1"/>
  <c r="J141" i="1"/>
  <c r="G141" i="1"/>
  <c r="F141" i="1"/>
  <c r="H141" i="1"/>
  <c r="E141" i="1"/>
  <c r="M127" i="1"/>
  <c r="I127" i="1"/>
  <c r="G127" i="1"/>
  <c r="H127" i="1"/>
  <c r="J127" i="1"/>
  <c r="E127" i="1"/>
  <c r="M113" i="1"/>
  <c r="I113" i="1"/>
  <c r="G113" i="1"/>
  <c r="H113" i="1"/>
  <c r="E113" i="1"/>
  <c r="M99" i="1"/>
  <c r="I99" i="1"/>
  <c r="J99" i="1"/>
  <c r="G99" i="1"/>
  <c r="H99" i="1"/>
  <c r="F99" i="1"/>
  <c r="E99" i="1"/>
  <c r="M85" i="1"/>
  <c r="I85" i="1"/>
  <c r="G85" i="1"/>
  <c r="H85" i="1"/>
  <c r="E85" i="1"/>
  <c r="M71" i="1"/>
  <c r="I71" i="1"/>
  <c r="H71" i="1"/>
  <c r="F71" i="1"/>
  <c r="J71" i="1"/>
  <c r="E71" i="1"/>
  <c r="M57" i="1"/>
  <c r="I57" i="1"/>
  <c r="G57" i="1"/>
  <c r="F57" i="1"/>
  <c r="J57" i="1"/>
  <c r="E57" i="1"/>
  <c r="M43" i="1"/>
  <c r="I43" i="1"/>
  <c r="G43" i="1"/>
  <c r="H43" i="1"/>
  <c r="E43" i="1"/>
  <c r="M29" i="1"/>
  <c r="I29" i="1"/>
  <c r="J29" i="1"/>
  <c r="G29" i="1"/>
  <c r="H29" i="1"/>
  <c r="F29" i="1"/>
  <c r="E29" i="1"/>
  <c r="M15" i="1"/>
  <c r="I15" i="1"/>
  <c r="G15" i="1"/>
  <c r="J15" i="1"/>
  <c r="E15" i="1"/>
  <c r="B183" i="1"/>
  <c r="B169" i="1"/>
  <c r="B155" i="1"/>
  <c r="B141" i="1"/>
  <c r="B127" i="1"/>
  <c r="B113" i="1"/>
  <c r="B99" i="1"/>
  <c r="B85" i="1"/>
  <c r="B71" i="1"/>
  <c r="B57" i="1"/>
  <c r="B43" i="1"/>
  <c r="B29" i="1"/>
  <c r="B15" i="1"/>
  <c r="F183" i="4"/>
  <c r="G183" i="4"/>
  <c r="H183" i="4"/>
  <c r="F169" i="4"/>
  <c r="G169" i="4"/>
  <c r="H169" i="4"/>
  <c r="F155" i="4"/>
  <c r="G155" i="4"/>
  <c r="H155" i="4"/>
  <c r="F141" i="4"/>
  <c r="G141" i="4"/>
  <c r="H141" i="4"/>
  <c r="F127" i="4"/>
  <c r="G127" i="4"/>
  <c r="H127" i="4"/>
  <c r="F113" i="4"/>
  <c r="G113" i="4"/>
  <c r="H113" i="4"/>
  <c r="F99" i="4"/>
  <c r="G99" i="4"/>
  <c r="H99" i="4"/>
  <c r="F85" i="4"/>
  <c r="G85" i="4"/>
  <c r="H85" i="4"/>
  <c r="F71" i="4"/>
  <c r="G71" i="4"/>
  <c r="H71" i="4"/>
  <c r="F57" i="4"/>
  <c r="G57" i="4"/>
  <c r="H57" i="4"/>
  <c r="F43" i="4"/>
  <c r="G43" i="4"/>
  <c r="H43" i="4"/>
  <c r="F29" i="4"/>
  <c r="G29" i="4"/>
  <c r="H29" i="4"/>
  <c r="F15" i="4"/>
  <c r="G15" i="4"/>
  <c r="H15" i="4"/>
  <c r="B183" i="4"/>
  <c r="B169" i="4"/>
  <c r="B155" i="4"/>
  <c r="B141" i="4"/>
  <c r="B127" i="4"/>
  <c r="B113" i="4"/>
  <c r="B99" i="4"/>
  <c r="B85" i="4"/>
  <c r="B71" i="4"/>
  <c r="B57" i="4"/>
  <c r="B43" i="4"/>
  <c r="B29" i="4"/>
  <c r="B15" i="4"/>
  <c r="F182" i="3"/>
  <c r="G182" i="3"/>
  <c r="F168" i="3"/>
  <c r="G168" i="3"/>
  <c r="F154" i="3"/>
  <c r="G154" i="3"/>
  <c r="F140" i="3"/>
  <c r="G140" i="3"/>
  <c r="F126" i="3"/>
  <c r="G126" i="3"/>
  <c r="F112" i="3"/>
  <c r="G112" i="3"/>
  <c r="F98" i="3"/>
  <c r="G98" i="3"/>
  <c r="F84" i="3"/>
  <c r="G84" i="3"/>
  <c r="F70" i="3"/>
  <c r="G70" i="3"/>
  <c r="F56" i="3"/>
  <c r="G56" i="3"/>
  <c r="F42" i="3"/>
  <c r="G42" i="3"/>
  <c r="F28" i="3"/>
  <c r="G28" i="3"/>
  <c r="F14" i="3"/>
  <c r="G14" i="3"/>
  <c r="B182" i="3"/>
  <c r="B168" i="3"/>
  <c r="B154" i="3"/>
  <c r="B140" i="3"/>
  <c r="B126" i="3"/>
  <c r="B112" i="3"/>
  <c r="B98" i="3"/>
  <c r="B84" i="3"/>
  <c r="B70" i="3"/>
  <c r="B56" i="3"/>
  <c r="B42" i="3"/>
  <c r="B28" i="3"/>
  <c r="B14" i="3"/>
  <c r="C33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41" i="1"/>
  <c r="F40" i="1"/>
  <c r="F39" i="1"/>
  <c r="F38" i="1"/>
  <c r="G82" i="1"/>
  <c r="G81" i="1"/>
  <c r="F11" i="1"/>
  <c r="F24" i="1"/>
  <c r="F54" i="1"/>
  <c r="F83" i="1"/>
  <c r="J83" i="1"/>
  <c r="F82" i="1"/>
  <c r="F110" i="1"/>
  <c r="H108" i="1"/>
  <c r="F107" i="1"/>
  <c r="F122" i="1"/>
  <c r="F138" i="1"/>
  <c r="F135" i="1"/>
  <c r="M182" i="1"/>
  <c r="I182" i="1"/>
  <c r="J182" i="1"/>
  <c r="G182" i="1"/>
  <c r="F182" i="1"/>
  <c r="H182" i="1"/>
  <c r="E182" i="1"/>
  <c r="M168" i="1"/>
  <c r="I168" i="1"/>
  <c r="J168" i="1"/>
  <c r="G168" i="1"/>
  <c r="H168" i="1"/>
  <c r="F168" i="1"/>
  <c r="E168" i="1"/>
  <c r="M154" i="1"/>
  <c r="I154" i="1"/>
  <c r="G154" i="1"/>
  <c r="F154" i="1"/>
  <c r="J154" i="1"/>
  <c r="E154" i="1"/>
  <c r="M140" i="1"/>
  <c r="I140" i="1"/>
  <c r="G140" i="1"/>
  <c r="F140" i="1"/>
  <c r="J140" i="1"/>
  <c r="E140" i="1"/>
  <c r="M126" i="1"/>
  <c r="I126" i="1"/>
  <c r="J126" i="1"/>
  <c r="G126" i="1"/>
  <c r="H126" i="1"/>
  <c r="E126" i="1"/>
  <c r="M112" i="1"/>
  <c r="I112" i="1"/>
  <c r="G112" i="1"/>
  <c r="J112" i="1"/>
  <c r="E112" i="1"/>
  <c r="M98" i="1"/>
  <c r="I98" i="1"/>
  <c r="J98" i="1"/>
  <c r="G98" i="1"/>
  <c r="H98" i="1"/>
  <c r="F98" i="1"/>
  <c r="E98" i="1"/>
  <c r="M84" i="1"/>
  <c r="I84" i="1"/>
  <c r="J84" i="1"/>
  <c r="G84" i="1"/>
  <c r="F84" i="1"/>
  <c r="H84" i="1"/>
  <c r="E84" i="1"/>
  <c r="M70" i="1"/>
  <c r="I70" i="1"/>
  <c r="G70" i="1"/>
  <c r="F70" i="1"/>
  <c r="E70" i="1"/>
  <c r="M56" i="1"/>
  <c r="I56" i="1"/>
  <c r="J56" i="1"/>
  <c r="G56" i="1"/>
  <c r="F56" i="1"/>
  <c r="H56" i="1"/>
  <c r="E56" i="1"/>
  <c r="M42" i="1"/>
  <c r="I42" i="1"/>
  <c r="G42" i="1"/>
  <c r="H42" i="1"/>
  <c r="F42" i="1"/>
  <c r="J42" i="1"/>
  <c r="E42" i="1"/>
  <c r="M28" i="1"/>
  <c r="I28" i="1"/>
  <c r="G28" i="1"/>
  <c r="F28" i="1"/>
  <c r="E28" i="1"/>
  <c r="M14" i="1"/>
  <c r="I14" i="1"/>
  <c r="G14" i="1"/>
  <c r="F14" i="1"/>
  <c r="J14" i="1"/>
  <c r="E14" i="1"/>
  <c r="B182" i="1"/>
  <c r="B168" i="1"/>
  <c r="B154" i="1"/>
  <c r="B140" i="1"/>
  <c r="B126" i="1"/>
  <c r="B112" i="1"/>
  <c r="B98" i="1"/>
  <c r="B84" i="1"/>
  <c r="B70" i="1"/>
  <c r="B56" i="1"/>
  <c r="B42" i="1"/>
  <c r="B28" i="1"/>
  <c r="B14" i="1"/>
  <c r="G193" i="3"/>
  <c r="G194" i="4"/>
  <c r="H194" i="4"/>
  <c r="F182" i="4"/>
  <c r="G182" i="4"/>
  <c r="H182" i="4"/>
  <c r="F168" i="4"/>
  <c r="G168" i="4"/>
  <c r="H168" i="4"/>
  <c r="F154" i="4"/>
  <c r="G154" i="4"/>
  <c r="H154" i="4"/>
  <c r="F140" i="4"/>
  <c r="G140" i="4"/>
  <c r="H140" i="4"/>
  <c r="F126" i="4"/>
  <c r="G126" i="4"/>
  <c r="H126" i="4"/>
  <c r="F112" i="4"/>
  <c r="G112" i="4"/>
  <c r="H112" i="4"/>
  <c r="F98" i="4"/>
  <c r="G98" i="4"/>
  <c r="H98" i="4"/>
  <c r="F84" i="4"/>
  <c r="G84" i="4"/>
  <c r="H84" i="4"/>
  <c r="F70" i="4"/>
  <c r="G70" i="4"/>
  <c r="H70" i="4"/>
  <c r="F56" i="4"/>
  <c r="G56" i="4"/>
  <c r="H56" i="4"/>
  <c r="F42" i="4"/>
  <c r="G42" i="4"/>
  <c r="H42" i="4"/>
  <c r="F28" i="4"/>
  <c r="G28" i="4"/>
  <c r="H28" i="4"/>
  <c r="F14" i="4"/>
  <c r="G14" i="4"/>
  <c r="H14" i="4"/>
  <c r="B182" i="4"/>
  <c r="B168" i="4"/>
  <c r="B154" i="4"/>
  <c r="B140" i="4"/>
  <c r="B126" i="4"/>
  <c r="B112" i="4"/>
  <c r="B98" i="4"/>
  <c r="B84" i="4"/>
  <c r="B70" i="4"/>
  <c r="B56" i="4"/>
  <c r="B42" i="4"/>
  <c r="B28" i="4"/>
  <c r="B14" i="4"/>
  <c r="F181" i="3"/>
  <c r="G181" i="3"/>
  <c r="F167" i="3"/>
  <c r="G167" i="3"/>
  <c r="F153" i="3"/>
  <c r="G153" i="3"/>
  <c r="F139" i="3"/>
  <c r="G139" i="3"/>
  <c r="F125" i="3"/>
  <c r="G125" i="3"/>
  <c r="F111" i="3"/>
  <c r="G111" i="3"/>
  <c r="F97" i="3"/>
  <c r="G97" i="3"/>
  <c r="F83" i="3"/>
  <c r="G83" i="3"/>
  <c r="F69" i="3"/>
  <c r="G69" i="3"/>
  <c r="F55" i="3"/>
  <c r="G55" i="3"/>
  <c r="F41" i="3"/>
  <c r="G41" i="3"/>
  <c r="F27" i="3"/>
  <c r="G27" i="3"/>
  <c r="F13" i="3"/>
  <c r="G13" i="3"/>
  <c r="B181" i="3"/>
  <c r="B167" i="3"/>
  <c r="B153" i="3"/>
  <c r="B139" i="3"/>
  <c r="B125" i="3"/>
  <c r="B111" i="3"/>
  <c r="B97" i="3"/>
  <c r="B83" i="3"/>
  <c r="B69" i="3"/>
  <c r="B55" i="3"/>
  <c r="B41" i="3"/>
  <c r="B27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35" i="2"/>
  <c r="A14" i="2"/>
  <c r="J40" i="1"/>
  <c r="E193" i="1"/>
  <c r="M181" i="1"/>
  <c r="I181" i="1"/>
  <c r="G181" i="1"/>
  <c r="F181" i="1"/>
  <c r="J181" i="1"/>
  <c r="E181" i="1"/>
  <c r="M167" i="1"/>
  <c r="I167" i="1"/>
  <c r="J167" i="1"/>
  <c r="G167" i="1"/>
  <c r="H167" i="1"/>
  <c r="F167" i="1"/>
  <c r="E167" i="1"/>
  <c r="M153" i="1"/>
  <c r="I153" i="1"/>
  <c r="J153" i="1"/>
  <c r="G153" i="1"/>
  <c r="H153" i="1"/>
  <c r="F153" i="1"/>
  <c r="E153" i="1"/>
  <c r="M139" i="1"/>
  <c r="I139" i="1"/>
  <c r="G139" i="1"/>
  <c r="H139" i="1"/>
  <c r="E139" i="1"/>
  <c r="M125" i="1"/>
  <c r="I125" i="1"/>
  <c r="G125" i="1"/>
  <c r="F125" i="1"/>
  <c r="J125" i="1"/>
  <c r="E125" i="1"/>
  <c r="M111" i="1"/>
  <c r="I111" i="1"/>
  <c r="G111" i="1"/>
  <c r="J111" i="1"/>
  <c r="E111" i="1"/>
  <c r="M97" i="1"/>
  <c r="I97" i="1"/>
  <c r="J97" i="1"/>
  <c r="G97" i="1"/>
  <c r="H97" i="1"/>
  <c r="F97" i="1"/>
  <c r="E97" i="1"/>
  <c r="M83" i="1"/>
  <c r="I83" i="1"/>
  <c r="G83" i="1"/>
  <c r="E83" i="1"/>
  <c r="M69" i="1"/>
  <c r="I69" i="1"/>
  <c r="J69" i="1"/>
  <c r="G69" i="1"/>
  <c r="H69" i="1"/>
  <c r="F69" i="1"/>
  <c r="E69" i="1"/>
  <c r="M55" i="1"/>
  <c r="I55" i="1"/>
  <c r="G55" i="1"/>
  <c r="F55" i="1"/>
  <c r="E55" i="1"/>
  <c r="M41" i="1"/>
  <c r="I41" i="1"/>
  <c r="J41" i="1"/>
  <c r="G41" i="1"/>
  <c r="H41" i="1"/>
  <c r="E41" i="1"/>
  <c r="M27" i="1"/>
  <c r="I27" i="1"/>
  <c r="J27" i="1"/>
  <c r="G27" i="1"/>
  <c r="H27" i="1"/>
  <c r="F27" i="1"/>
  <c r="E27" i="1"/>
  <c r="M13" i="1"/>
  <c r="I13" i="1"/>
  <c r="G13" i="1"/>
  <c r="F13" i="1"/>
  <c r="E13" i="1"/>
  <c r="B181" i="1"/>
  <c r="B167" i="1"/>
  <c r="B153" i="1"/>
  <c r="B139" i="1"/>
  <c r="B125" i="1"/>
  <c r="B111" i="1"/>
  <c r="B97" i="1"/>
  <c r="B83" i="1"/>
  <c r="B69" i="1"/>
  <c r="B55" i="1"/>
  <c r="B41" i="1"/>
  <c r="B27" i="1"/>
  <c r="B13" i="1"/>
  <c r="F181" i="4"/>
  <c r="G181" i="4"/>
  <c r="H181" i="4"/>
  <c r="F167" i="4"/>
  <c r="G167" i="4"/>
  <c r="H167" i="4"/>
  <c r="F153" i="4"/>
  <c r="G153" i="4"/>
  <c r="H153" i="4"/>
  <c r="F139" i="4"/>
  <c r="G139" i="4"/>
  <c r="H139" i="4"/>
  <c r="F125" i="4"/>
  <c r="G125" i="4"/>
  <c r="H125" i="4"/>
  <c r="F111" i="4"/>
  <c r="G111" i="4"/>
  <c r="H111" i="4"/>
  <c r="F97" i="4"/>
  <c r="G97" i="4"/>
  <c r="H97" i="4"/>
  <c r="F83" i="4"/>
  <c r="G83" i="4"/>
  <c r="H83" i="4"/>
  <c r="F69" i="4"/>
  <c r="G69" i="4"/>
  <c r="H69" i="4"/>
  <c r="F55" i="4"/>
  <c r="G55" i="4"/>
  <c r="H55" i="4"/>
  <c r="F41" i="4"/>
  <c r="G41" i="4"/>
  <c r="H41" i="4"/>
  <c r="F27" i="4"/>
  <c r="G27" i="4"/>
  <c r="H27" i="4"/>
  <c r="G13" i="4"/>
  <c r="H13" i="4"/>
  <c r="F13" i="4"/>
  <c r="B181" i="4"/>
  <c r="B167" i="4"/>
  <c r="B153" i="4"/>
  <c r="B139" i="4"/>
  <c r="B125" i="4"/>
  <c r="B111" i="4"/>
  <c r="B97" i="4"/>
  <c r="B83" i="4"/>
  <c r="B69" i="4"/>
  <c r="B55" i="4"/>
  <c r="B41" i="4"/>
  <c r="B27" i="4"/>
  <c r="B13" i="4"/>
  <c r="F180" i="3"/>
  <c r="G180" i="3"/>
  <c r="F166" i="3"/>
  <c r="G166" i="3"/>
  <c r="F152" i="3"/>
  <c r="G152" i="3"/>
  <c r="F138" i="3"/>
  <c r="G138" i="3"/>
  <c r="F124" i="3"/>
  <c r="G124" i="3"/>
  <c r="F110" i="3"/>
  <c r="G110" i="3"/>
  <c r="F96" i="3"/>
  <c r="G96" i="3"/>
  <c r="F82" i="3"/>
  <c r="G82" i="3"/>
  <c r="F68" i="3"/>
  <c r="G68" i="3"/>
  <c r="F54" i="3"/>
  <c r="G54" i="3"/>
  <c r="F40" i="3"/>
  <c r="G40" i="3"/>
  <c r="G12" i="3"/>
  <c r="F12" i="3"/>
  <c r="F26" i="3"/>
  <c r="G26" i="3"/>
  <c r="B180" i="3"/>
  <c r="B166" i="3"/>
  <c r="B152" i="3"/>
  <c r="B138" i="3"/>
  <c r="B124" i="3"/>
  <c r="B110" i="3"/>
  <c r="B96" i="3"/>
  <c r="B82" i="3"/>
  <c r="B68" i="3"/>
  <c r="B54" i="3"/>
  <c r="B40" i="3"/>
  <c r="B26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B3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M193" i="1"/>
  <c r="M180" i="1"/>
  <c r="I180" i="1"/>
  <c r="J180" i="1"/>
  <c r="G180" i="1"/>
  <c r="H180" i="1"/>
  <c r="F180" i="1"/>
  <c r="E180" i="1"/>
  <c r="M166" i="1"/>
  <c r="I166" i="1"/>
  <c r="J166" i="1"/>
  <c r="G166" i="1"/>
  <c r="H166" i="1"/>
  <c r="F166" i="1"/>
  <c r="E166" i="1"/>
  <c r="M152" i="1"/>
  <c r="I152" i="1"/>
  <c r="J152" i="1"/>
  <c r="G152" i="1"/>
  <c r="H152" i="1"/>
  <c r="F152" i="1"/>
  <c r="E152" i="1"/>
  <c r="M138" i="1"/>
  <c r="I138" i="1"/>
  <c r="G138" i="1"/>
  <c r="F147" i="1"/>
  <c r="E138" i="1"/>
  <c r="M124" i="1"/>
  <c r="I124" i="1"/>
  <c r="J124" i="1"/>
  <c r="G124" i="1"/>
  <c r="F124" i="1"/>
  <c r="H124" i="1"/>
  <c r="E124" i="1"/>
  <c r="M110" i="1"/>
  <c r="I110" i="1"/>
  <c r="J110" i="1"/>
  <c r="E110" i="1"/>
  <c r="M96" i="1"/>
  <c r="I96" i="1"/>
  <c r="G96" i="1"/>
  <c r="F96" i="1"/>
  <c r="J96" i="1"/>
  <c r="E96" i="1"/>
  <c r="M82" i="1"/>
  <c r="I82" i="1"/>
  <c r="J82" i="1"/>
  <c r="H82" i="1"/>
  <c r="E82" i="1"/>
  <c r="M68" i="1"/>
  <c r="I68" i="1"/>
  <c r="G68" i="1"/>
  <c r="F68" i="1"/>
  <c r="E68" i="1"/>
  <c r="M54" i="1"/>
  <c r="I54" i="1"/>
  <c r="G54" i="1"/>
  <c r="H54" i="1"/>
  <c r="J54" i="1"/>
  <c r="E54" i="1"/>
  <c r="H40" i="1"/>
  <c r="M40" i="1"/>
  <c r="I40" i="1"/>
  <c r="G40" i="1"/>
  <c r="E40" i="1"/>
  <c r="M26" i="1"/>
  <c r="I26" i="1"/>
  <c r="J26" i="1"/>
  <c r="G26" i="1"/>
  <c r="F26" i="1"/>
  <c r="H26" i="1"/>
  <c r="E26" i="1"/>
  <c r="M12" i="1"/>
  <c r="I12" i="1"/>
  <c r="H12" i="1"/>
  <c r="E12" i="1"/>
  <c r="G12" i="1"/>
  <c r="F12" i="1"/>
  <c r="J12" i="1"/>
  <c r="B180" i="1"/>
  <c r="B166" i="1"/>
  <c r="B152" i="1"/>
  <c r="B138" i="1"/>
  <c r="B124" i="1"/>
  <c r="B110" i="1"/>
  <c r="B96" i="1"/>
  <c r="B82" i="1"/>
  <c r="B68" i="1"/>
  <c r="B54" i="1"/>
  <c r="B40" i="1"/>
  <c r="B26" i="1"/>
  <c r="B12" i="1"/>
  <c r="G12" i="4"/>
  <c r="H12" i="4"/>
  <c r="F12" i="4"/>
  <c r="G26" i="4"/>
  <c r="H26" i="4"/>
  <c r="F26" i="4"/>
  <c r="G40" i="4"/>
  <c r="H40" i="4"/>
  <c r="F40" i="4"/>
  <c r="G54" i="4"/>
  <c r="H54" i="4"/>
  <c r="F54" i="4"/>
  <c r="G68" i="4"/>
  <c r="H68" i="4"/>
  <c r="F68" i="4"/>
  <c r="G82" i="4"/>
  <c r="H82" i="4"/>
  <c r="F82" i="4"/>
  <c r="G96" i="4"/>
  <c r="H96" i="4"/>
  <c r="F96" i="4"/>
  <c r="G110" i="4"/>
  <c r="H110" i="4"/>
  <c r="F110" i="4"/>
  <c r="G124" i="4"/>
  <c r="H124" i="4"/>
  <c r="F124" i="4"/>
  <c r="G138" i="4"/>
  <c r="H138" i="4"/>
  <c r="F138" i="4"/>
  <c r="G152" i="4"/>
  <c r="H152" i="4"/>
  <c r="F152" i="4"/>
  <c r="G166" i="4"/>
  <c r="H166" i="4"/>
  <c r="F166" i="4"/>
  <c r="G180" i="4"/>
  <c r="H180" i="4"/>
  <c r="F180" i="4"/>
  <c r="B180" i="4"/>
  <c r="B166" i="4"/>
  <c r="B152" i="4"/>
  <c r="B138" i="4"/>
  <c r="B124" i="4"/>
  <c r="B110" i="4"/>
  <c r="B96" i="4"/>
  <c r="B82" i="4"/>
  <c r="B68" i="4"/>
  <c r="B54" i="4"/>
  <c r="B40" i="4"/>
  <c r="B26" i="4"/>
  <c r="B12" i="4"/>
  <c r="G179" i="3"/>
  <c r="F179" i="3"/>
  <c r="G165" i="3"/>
  <c r="F165" i="3"/>
  <c r="G151" i="3"/>
  <c r="F151" i="3"/>
  <c r="G137" i="3"/>
  <c r="F137" i="3"/>
  <c r="G123" i="3"/>
  <c r="F123" i="3"/>
  <c r="G109" i="3"/>
  <c r="F109" i="3"/>
  <c r="G95" i="3"/>
  <c r="F95" i="3"/>
  <c r="G81" i="3"/>
  <c r="F81" i="3"/>
  <c r="G67" i="3"/>
  <c r="F67" i="3"/>
  <c r="G53" i="3"/>
  <c r="F53" i="3"/>
  <c r="G39" i="3"/>
  <c r="F39" i="3"/>
  <c r="G25" i="3"/>
  <c r="F25" i="3"/>
  <c r="G11" i="3"/>
  <c r="F11" i="3"/>
  <c r="B179" i="3"/>
  <c r="B165" i="3"/>
  <c r="B151" i="3"/>
  <c r="B137" i="3"/>
  <c r="B123" i="3"/>
  <c r="B109" i="3"/>
  <c r="B95" i="3"/>
  <c r="B81" i="3"/>
  <c r="B67" i="3"/>
  <c r="B53" i="3"/>
  <c r="B39" i="3"/>
  <c r="B25" i="3"/>
  <c r="B11" i="3"/>
  <c r="N33" i="2"/>
  <c r="M33" i="2"/>
  <c r="L33" i="2"/>
  <c r="K33" i="2"/>
  <c r="J33" i="2"/>
  <c r="I33" i="2"/>
  <c r="H33" i="2"/>
  <c r="G33" i="2"/>
  <c r="F33" i="2"/>
  <c r="E33" i="2"/>
  <c r="D33" i="2"/>
  <c r="N12" i="2"/>
  <c r="M12" i="2"/>
  <c r="L12" i="2"/>
  <c r="K12" i="2"/>
  <c r="J12" i="2"/>
  <c r="I12" i="2"/>
  <c r="H12" i="2"/>
  <c r="H23" i="2"/>
  <c r="G12" i="2"/>
  <c r="F12" i="2"/>
  <c r="E12" i="2"/>
  <c r="D12" i="2"/>
  <c r="C12" i="2"/>
  <c r="B12" i="2"/>
  <c r="A33" i="2"/>
  <c r="A12" i="2"/>
  <c r="M179" i="1"/>
  <c r="I179" i="1"/>
  <c r="E179" i="1"/>
  <c r="G179" i="1"/>
  <c r="F179" i="1"/>
  <c r="M165" i="1"/>
  <c r="I165" i="1"/>
  <c r="H165" i="1"/>
  <c r="E165" i="1"/>
  <c r="G165" i="1"/>
  <c r="F165" i="1"/>
  <c r="J165" i="1"/>
  <c r="M151" i="1"/>
  <c r="J151" i="1"/>
  <c r="I151" i="1"/>
  <c r="H151" i="1"/>
  <c r="E151" i="1"/>
  <c r="G151" i="1"/>
  <c r="F151" i="1"/>
  <c r="M137" i="1"/>
  <c r="J137" i="1"/>
  <c r="I137" i="1"/>
  <c r="E137" i="1"/>
  <c r="G137" i="1"/>
  <c r="F137" i="1"/>
  <c r="M123" i="1"/>
  <c r="I123" i="1"/>
  <c r="E123" i="1"/>
  <c r="G123" i="1"/>
  <c r="F123" i="1"/>
  <c r="M109" i="1"/>
  <c r="I109" i="1"/>
  <c r="E109" i="1"/>
  <c r="H109" i="1"/>
  <c r="M95" i="1"/>
  <c r="I95" i="1"/>
  <c r="E95" i="1"/>
  <c r="G95" i="1"/>
  <c r="F95" i="1"/>
  <c r="M81" i="1"/>
  <c r="I81" i="1"/>
  <c r="E81" i="1"/>
  <c r="F81" i="1"/>
  <c r="J81" i="1"/>
  <c r="M67" i="1"/>
  <c r="I67" i="1"/>
  <c r="E67" i="1"/>
  <c r="G67" i="1"/>
  <c r="F67" i="1"/>
  <c r="M53" i="1"/>
  <c r="I53" i="1"/>
  <c r="H53" i="1"/>
  <c r="E53" i="1"/>
  <c r="G53" i="1"/>
  <c r="F53" i="1"/>
  <c r="J53" i="1"/>
  <c r="M39" i="1"/>
  <c r="J39" i="1"/>
  <c r="I39" i="1"/>
  <c r="E39" i="1"/>
  <c r="G39" i="1"/>
  <c r="M25" i="1"/>
  <c r="I25" i="1"/>
  <c r="H25" i="1"/>
  <c r="E25" i="1"/>
  <c r="G25" i="1"/>
  <c r="F25" i="1"/>
  <c r="J25" i="1"/>
  <c r="M11" i="1"/>
  <c r="I11" i="1"/>
  <c r="E11" i="1"/>
  <c r="G11" i="1"/>
  <c r="G21" i="1"/>
  <c r="B179" i="1"/>
  <c r="B165" i="1"/>
  <c r="B151" i="1"/>
  <c r="B137" i="1"/>
  <c r="B123" i="1"/>
  <c r="B109" i="1"/>
  <c r="B95" i="1"/>
  <c r="B81" i="1"/>
  <c r="B67" i="1"/>
  <c r="B53" i="1"/>
  <c r="B39" i="1"/>
  <c r="B25" i="1"/>
  <c r="B11" i="1"/>
  <c r="G179" i="4"/>
  <c r="H179" i="4"/>
  <c r="F179" i="4"/>
  <c r="G165" i="4"/>
  <c r="H165" i="4"/>
  <c r="F165" i="4"/>
  <c r="H151" i="4"/>
  <c r="G151" i="4"/>
  <c r="F151" i="4"/>
  <c r="H137" i="4"/>
  <c r="G137" i="4"/>
  <c r="F137" i="4"/>
  <c r="G123" i="4"/>
  <c r="H123" i="4"/>
  <c r="F123" i="4"/>
  <c r="G109" i="4"/>
  <c r="H109" i="4"/>
  <c r="F109" i="4"/>
  <c r="H95" i="4"/>
  <c r="G95" i="4"/>
  <c r="F95" i="4"/>
  <c r="H81" i="4"/>
  <c r="G81" i="4"/>
  <c r="F81" i="4"/>
  <c r="G67" i="4"/>
  <c r="H67" i="4"/>
  <c r="F67" i="4"/>
  <c r="G53" i="4"/>
  <c r="H53" i="4"/>
  <c r="F53" i="4"/>
  <c r="G39" i="4"/>
  <c r="H39" i="4"/>
  <c r="F39" i="4"/>
  <c r="G25" i="4"/>
  <c r="H25" i="4"/>
  <c r="F25" i="4"/>
  <c r="G11" i="4"/>
  <c r="H11" i="4"/>
  <c r="F11" i="4"/>
  <c r="B179" i="4"/>
  <c r="B165" i="4"/>
  <c r="B151" i="4"/>
  <c r="B137" i="4"/>
  <c r="B123" i="4"/>
  <c r="B109" i="4"/>
  <c r="B95" i="4"/>
  <c r="B81" i="4"/>
  <c r="B67" i="4"/>
  <c r="B53" i="4"/>
  <c r="B39" i="4"/>
  <c r="B25" i="4"/>
  <c r="B11" i="4"/>
  <c r="G178" i="3"/>
  <c r="F178" i="3"/>
  <c r="G164" i="3"/>
  <c r="F164" i="3"/>
  <c r="G150" i="3"/>
  <c r="F150" i="3"/>
  <c r="G136" i="3"/>
  <c r="F136" i="3"/>
  <c r="G122" i="3"/>
  <c r="F122" i="3"/>
  <c r="G108" i="3"/>
  <c r="F108" i="3"/>
  <c r="G94" i="3"/>
  <c r="F94" i="3"/>
  <c r="G80" i="3"/>
  <c r="F80" i="3"/>
  <c r="G66" i="3"/>
  <c r="F66" i="3"/>
  <c r="G52" i="3"/>
  <c r="F52" i="3"/>
  <c r="G38" i="3"/>
  <c r="F38" i="3"/>
  <c r="G24" i="3"/>
  <c r="F24" i="3"/>
  <c r="G10" i="3"/>
  <c r="F10" i="3"/>
  <c r="B178" i="3"/>
  <c r="B164" i="3"/>
  <c r="B150" i="3"/>
  <c r="B136" i="3"/>
  <c r="B122" i="3"/>
  <c r="B108" i="3"/>
  <c r="B94" i="3"/>
  <c r="B80" i="3"/>
  <c r="B66" i="3"/>
  <c r="B52" i="3"/>
  <c r="B38" i="3"/>
  <c r="B24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32" i="2"/>
  <c r="A11" i="2"/>
  <c r="F37" i="1"/>
  <c r="M178" i="1"/>
  <c r="J178" i="1"/>
  <c r="I178" i="1"/>
  <c r="E178" i="1"/>
  <c r="G178" i="1"/>
  <c r="G189" i="1"/>
  <c r="H189" i="1"/>
  <c r="F178" i="1"/>
  <c r="M164" i="1"/>
  <c r="J164" i="1"/>
  <c r="I164" i="1"/>
  <c r="E164" i="1"/>
  <c r="G164" i="1"/>
  <c r="M150" i="1"/>
  <c r="J150" i="1"/>
  <c r="I150" i="1"/>
  <c r="E150" i="1"/>
  <c r="G150" i="1"/>
  <c r="F150" i="1"/>
  <c r="H150" i="1"/>
  <c r="M136" i="1"/>
  <c r="I136" i="1"/>
  <c r="E136" i="1"/>
  <c r="G136" i="1"/>
  <c r="F136" i="1"/>
  <c r="H136" i="1"/>
  <c r="M122" i="1"/>
  <c r="I122" i="1"/>
  <c r="E122" i="1"/>
  <c r="G122" i="1"/>
  <c r="J122" i="1"/>
  <c r="M108" i="1"/>
  <c r="I108" i="1"/>
  <c r="E108" i="1"/>
  <c r="M94" i="1"/>
  <c r="J94" i="1"/>
  <c r="I94" i="1"/>
  <c r="E94" i="1"/>
  <c r="G94" i="1"/>
  <c r="F94" i="1"/>
  <c r="H94" i="1"/>
  <c r="M80" i="1"/>
  <c r="I80" i="1"/>
  <c r="E80" i="1"/>
  <c r="G80" i="1"/>
  <c r="F80" i="1"/>
  <c r="M66" i="1"/>
  <c r="I66" i="1"/>
  <c r="H66" i="1"/>
  <c r="E66" i="1"/>
  <c r="G66" i="1"/>
  <c r="F66" i="1"/>
  <c r="J66" i="1"/>
  <c r="M52" i="1"/>
  <c r="J52" i="1"/>
  <c r="I52" i="1"/>
  <c r="H52" i="1"/>
  <c r="E52" i="1"/>
  <c r="G52" i="1"/>
  <c r="F52" i="1"/>
  <c r="M38" i="1"/>
  <c r="I38" i="1"/>
  <c r="E38" i="1"/>
  <c r="G38" i="1"/>
  <c r="H38" i="1"/>
  <c r="J38" i="1"/>
  <c r="M24" i="1"/>
  <c r="I24" i="1"/>
  <c r="H24" i="1"/>
  <c r="E24" i="1"/>
  <c r="G24" i="1"/>
  <c r="M10" i="1"/>
  <c r="I10" i="1"/>
  <c r="E10" i="1"/>
  <c r="G10" i="1"/>
  <c r="F10" i="1"/>
  <c r="B178" i="1"/>
  <c r="B164" i="1"/>
  <c r="B150" i="1"/>
  <c r="B136" i="1"/>
  <c r="B122" i="1"/>
  <c r="B108" i="1"/>
  <c r="B94" i="1"/>
  <c r="B80" i="1"/>
  <c r="B66" i="1"/>
  <c r="B52" i="1"/>
  <c r="B38" i="1"/>
  <c r="B24" i="1"/>
  <c r="B10" i="1"/>
  <c r="B178" i="4"/>
  <c r="B164" i="4"/>
  <c r="B150" i="4"/>
  <c r="B136" i="4"/>
  <c r="B122" i="4"/>
  <c r="B108" i="4"/>
  <c r="B94" i="4"/>
  <c r="B80" i="4"/>
  <c r="B66" i="4"/>
  <c r="B52" i="4"/>
  <c r="B38" i="4"/>
  <c r="B24" i="4"/>
  <c r="B10" i="4"/>
  <c r="B177" i="3"/>
  <c r="B163" i="3"/>
  <c r="B149" i="3"/>
  <c r="B135" i="3"/>
  <c r="B121" i="3"/>
  <c r="B107" i="3"/>
  <c r="B93" i="3"/>
  <c r="B79" i="3"/>
  <c r="B65" i="3"/>
  <c r="B51" i="3"/>
  <c r="B37" i="3"/>
  <c r="B23" i="3"/>
  <c r="B9" i="3"/>
  <c r="A10" i="2"/>
  <c r="A31" i="2"/>
  <c r="G177" i="1"/>
  <c r="F177" i="1"/>
  <c r="G163" i="1"/>
  <c r="G149" i="1"/>
  <c r="G161" i="1"/>
  <c r="F149" i="1"/>
  <c r="G135" i="1"/>
  <c r="H135" i="1"/>
  <c r="G121" i="1"/>
  <c r="G133" i="1"/>
  <c r="F121" i="1"/>
  <c r="G107" i="1"/>
  <c r="G119" i="1"/>
  <c r="H107" i="1"/>
  <c r="G93" i="1"/>
  <c r="G105" i="1"/>
  <c r="F93" i="1"/>
  <c r="F105" i="1"/>
  <c r="J93" i="1"/>
  <c r="G79" i="1"/>
  <c r="F79" i="1"/>
  <c r="J79" i="1"/>
  <c r="G65" i="1"/>
  <c r="G77" i="1"/>
  <c r="F65" i="1"/>
  <c r="G51" i="1"/>
  <c r="G63" i="1"/>
  <c r="F51" i="1"/>
  <c r="H51" i="1"/>
  <c r="G37" i="1"/>
  <c r="G23" i="1"/>
  <c r="G35" i="1"/>
  <c r="F35" i="1"/>
  <c r="G9" i="1"/>
  <c r="F9" i="1"/>
  <c r="B177" i="1"/>
  <c r="B163" i="1"/>
  <c r="B149" i="1"/>
  <c r="B135" i="1"/>
  <c r="B121" i="1"/>
  <c r="B93" i="1"/>
  <c r="B107" i="1"/>
  <c r="B79" i="1"/>
  <c r="B65" i="1"/>
  <c r="B51" i="1"/>
  <c r="B37" i="1"/>
  <c r="B23" i="1"/>
  <c r="B9" i="1"/>
  <c r="J177" i="1"/>
  <c r="L63" i="1"/>
  <c r="F80" i="4"/>
  <c r="F79" i="3"/>
  <c r="M79" i="1"/>
  <c r="E79" i="1"/>
  <c r="F178" i="4"/>
  <c r="F177" i="3"/>
  <c r="G31" i="2"/>
  <c r="G10" i="2"/>
  <c r="M177" i="1"/>
  <c r="E177" i="1"/>
  <c r="E92" i="4"/>
  <c r="D92" i="4"/>
  <c r="C92" i="4"/>
  <c r="G92" i="4"/>
  <c r="H92" i="4"/>
  <c r="G80" i="4"/>
  <c r="H80" i="4"/>
  <c r="E91" i="3"/>
  <c r="D91" i="3"/>
  <c r="G91" i="3"/>
  <c r="C91" i="3"/>
  <c r="G79" i="3"/>
  <c r="L91" i="1"/>
  <c r="D91" i="1"/>
  <c r="C91" i="1"/>
  <c r="E91" i="1"/>
  <c r="I79" i="1"/>
  <c r="G178" i="4"/>
  <c r="H178" i="4"/>
  <c r="G177" i="3"/>
  <c r="I177" i="1"/>
  <c r="D21" i="1"/>
  <c r="D35" i="1"/>
  <c r="D49" i="1"/>
  <c r="D63" i="1"/>
  <c r="D77" i="1"/>
  <c r="E77" i="1"/>
  <c r="D105" i="1"/>
  <c r="D119" i="1"/>
  <c r="D133" i="1"/>
  <c r="D147" i="1"/>
  <c r="D161" i="1"/>
  <c r="D175" i="1"/>
  <c r="D189" i="1"/>
  <c r="C189" i="1"/>
  <c r="C190" i="4"/>
  <c r="D190" i="4"/>
  <c r="C189" i="3"/>
  <c r="D189" i="3"/>
  <c r="E22" i="4"/>
  <c r="F22" i="4"/>
  <c r="E36" i="4"/>
  <c r="E50" i="4"/>
  <c r="E64" i="4"/>
  <c r="E78" i="4"/>
  <c r="E106" i="4"/>
  <c r="F106" i="4"/>
  <c r="E120" i="4"/>
  <c r="E134" i="4"/>
  <c r="E148" i="4"/>
  <c r="E162" i="4"/>
  <c r="E176" i="4"/>
  <c r="E190" i="4"/>
  <c r="D22" i="4"/>
  <c r="G22" i="4"/>
  <c r="H22" i="4"/>
  <c r="D36" i="4"/>
  <c r="D50" i="4"/>
  <c r="D64" i="4"/>
  <c r="D78" i="4"/>
  <c r="D106" i="4"/>
  <c r="D120" i="4"/>
  <c r="D134" i="4"/>
  <c r="F134" i="4"/>
  <c r="D148" i="4"/>
  <c r="F148" i="4"/>
  <c r="D162" i="4"/>
  <c r="G162" i="4"/>
  <c r="H162" i="4"/>
  <c r="D176" i="4"/>
  <c r="F176" i="4"/>
  <c r="C22" i="4"/>
  <c r="C36" i="4"/>
  <c r="C50" i="4"/>
  <c r="G50" i="4"/>
  <c r="H50" i="4"/>
  <c r="C64" i="4"/>
  <c r="C78" i="4"/>
  <c r="C106" i="4"/>
  <c r="C120" i="4"/>
  <c r="C134" i="4"/>
  <c r="C148" i="4"/>
  <c r="C162" i="4"/>
  <c r="C176" i="4"/>
  <c r="G176" i="4"/>
  <c r="H176" i="4"/>
  <c r="F136" i="4"/>
  <c r="E21" i="3"/>
  <c r="E35" i="3"/>
  <c r="E49" i="3"/>
  <c r="E63" i="3"/>
  <c r="E77" i="3"/>
  <c r="F77" i="3"/>
  <c r="E105" i="3"/>
  <c r="E119" i="3"/>
  <c r="E133" i="3"/>
  <c r="F133" i="3"/>
  <c r="E147" i="3"/>
  <c r="E161" i="3"/>
  <c r="E175" i="3"/>
  <c r="E189" i="3"/>
  <c r="D21" i="3"/>
  <c r="D35" i="3"/>
  <c r="F35" i="3"/>
  <c r="D49" i="3"/>
  <c r="D63" i="3"/>
  <c r="F63" i="3"/>
  <c r="D77" i="3"/>
  <c r="D105" i="3"/>
  <c r="D119" i="3"/>
  <c r="F119" i="3"/>
  <c r="D133" i="3"/>
  <c r="D147" i="3"/>
  <c r="D161" i="3"/>
  <c r="D175" i="3"/>
  <c r="C21" i="3"/>
  <c r="G21" i="3"/>
  <c r="C35" i="3"/>
  <c r="C49" i="3"/>
  <c r="C63" i="3"/>
  <c r="C77" i="3"/>
  <c r="G77" i="3"/>
  <c r="C105" i="3"/>
  <c r="C119" i="3"/>
  <c r="C133" i="3"/>
  <c r="C147" i="3"/>
  <c r="C161" i="3"/>
  <c r="C175" i="3"/>
  <c r="G175" i="3"/>
  <c r="F135" i="3"/>
  <c r="M135" i="1"/>
  <c r="E135" i="1"/>
  <c r="L21" i="1"/>
  <c r="L35" i="1"/>
  <c r="L49" i="1"/>
  <c r="M49" i="1"/>
  <c r="L77" i="1"/>
  <c r="M77" i="1"/>
  <c r="L105" i="1"/>
  <c r="L119" i="1"/>
  <c r="L133" i="1"/>
  <c r="L147" i="1"/>
  <c r="L161" i="1"/>
  <c r="L175" i="1"/>
  <c r="K21" i="1"/>
  <c r="K35" i="1"/>
  <c r="J35" i="1"/>
  <c r="C21" i="1"/>
  <c r="E21" i="1"/>
  <c r="C35" i="1"/>
  <c r="E35" i="1"/>
  <c r="C49" i="1"/>
  <c r="E49" i="1"/>
  <c r="C63" i="1"/>
  <c r="E63" i="1"/>
  <c r="C77" i="1"/>
  <c r="I77" i="1"/>
  <c r="C105" i="1"/>
  <c r="I105" i="1"/>
  <c r="C119" i="1"/>
  <c r="E119" i="1"/>
  <c r="C133" i="1"/>
  <c r="E133" i="1"/>
  <c r="C147" i="1"/>
  <c r="E147" i="1"/>
  <c r="C161" i="1"/>
  <c r="E161" i="1"/>
  <c r="C175" i="1"/>
  <c r="E149" i="1"/>
  <c r="I149" i="1"/>
  <c r="M149" i="1"/>
  <c r="K147" i="1"/>
  <c r="M147" i="1"/>
  <c r="F164" i="4"/>
  <c r="K31" i="2"/>
  <c r="K10" i="2"/>
  <c r="K63" i="1"/>
  <c r="K77" i="1"/>
  <c r="K105" i="1"/>
  <c r="K119" i="1"/>
  <c r="I119" i="1"/>
  <c r="K133" i="1"/>
  <c r="M133" i="1"/>
  <c r="K175" i="1"/>
  <c r="I135" i="1"/>
  <c r="G136" i="4"/>
  <c r="H136" i="4"/>
  <c r="G135" i="3"/>
  <c r="F108" i="4"/>
  <c r="F107" i="3"/>
  <c r="N31" i="2"/>
  <c r="M31" i="2"/>
  <c r="L31" i="2"/>
  <c r="J31" i="2"/>
  <c r="I31" i="2"/>
  <c r="H31" i="2"/>
  <c r="F31" i="2"/>
  <c r="E31" i="2"/>
  <c r="C31" i="2"/>
  <c r="B31" i="2"/>
  <c r="M107" i="1"/>
  <c r="E107" i="1"/>
  <c r="I10" i="2"/>
  <c r="G108" i="4"/>
  <c r="H108" i="4"/>
  <c r="G122" i="4"/>
  <c r="H122" i="4"/>
  <c r="F122" i="4"/>
  <c r="G107" i="3"/>
  <c r="I107" i="1"/>
  <c r="F10" i="4"/>
  <c r="G10" i="4"/>
  <c r="H10" i="4"/>
  <c r="I9" i="1"/>
  <c r="I23" i="1"/>
  <c r="I51" i="1"/>
  <c r="I65" i="1"/>
  <c r="I93" i="1"/>
  <c r="I121" i="1"/>
  <c r="I163" i="1"/>
  <c r="E9" i="1"/>
  <c r="M9" i="1"/>
  <c r="E23" i="1"/>
  <c r="M23" i="1"/>
  <c r="E37" i="1"/>
  <c r="E51" i="1"/>
  <c r="M51" i="1"/>
  <c r="E65" i="1"/>
  <c r="M65" i="1"/>
  <c r="E93" i="1"/>
  <c r="M93" i="1"/>
  <c r="E121" i="1"/>
  <c r="M121" i="1"/>
  <c r="E163" i="1"/>
  <c r="M163" i="1"/>
  <c r="F24" i="4"/>
  <c r="G24" i="4"/>
  <c r="H24" i="4"/>
  <c r="F38" i="4"/>
  <c r="G38" i="4"/>
  <c r="H38" i="4"/>
  <c r="F52" i="4"/>
  <c r="G52" i="4"/>
  <c r="H52" i="4"/>
  <c r="F66" i="4"/>
  <c r="G66" i="4"/>
  <c r="H66" i="4"/>
  <c r="F94" i="4"/>
  <c r="G94" i="4"/>
  <c r="H94" i="4"/>
  <c r="F150" i="4"/>
  <c r="G150" i="4"/>
  <c r="H150" i="4"/>
  <c r="G164" i="4"/>
  <c r="H164" i="4"/>
  <c r="F9" i="3"/>
  <c r="F23" i="3"/>
  <c r="G23" i="3"/>
  <c r="F37" i="3"/>
  <c r="G37" i="3"/>
  <c r="F51" i="3"/>
  <c r="G51" i="3"/>
  <c r="F65" i="3"/>
  <c r="G65" i="3"/>
  <c r="F93" i="3"/>
  <c r="G93" i="3"/>
  <c r="F121" i="3"/>
  <c r="G121" i="3"/>
  <c r="F149" i="3"/>
  <c r="G149" i="3"/>
  <c r="F163" i="3"/>
  <c r="G163" i="3"/>
  <c r="G9" i="3"/>
  <c r="B10" i="2"/>
  <c r="C10" i="2"/>
  <c r="D10" i="2"/>
  <c r="E10" i="2"/>
  <c r="F10" i="2"/>
  <c r="H10" i="2"/>
  <c r="J10" i="2"/>
  <c r="L10" i="2"/>
  <c r="M10" i="2"/>
  <c r="N10" i="2"/>
  <c r="I37" i="1"/>
  <c r="M37" i="1"/>
  <c r="K49" i="1"/>
  <c r="D31" i="2"/>
  <c r="L189" i="1"/>
  <c r="K189" i="1"/>
  <c r="I189" i="1"/>
  <c r="K91" i="1"/>
  <c r="M91" i="1"/>
  <c r="K161" i="1"/>
  <c r="J9" i="1"/>
  <c r="H9" i="1"/>
  <c r="F175" i="1"/>
  <c r="H23" i="1"/>
  <c r="J23" i="1"/>
  <c r="J121" i="1"/>
  <c r="H121" i="1"/>
  <c r="F133" i="1"/>
  <c r="H133" i="1"/>
  <c r="H65" i="1"/>
  <c r="H93" i="1"/>
  <c r="G147" i="1"/>
  <c r="H147" i="1"/>
  <c r="H37" i="1"/>
  <c r="J37" i="1"/>
  <c r="J136" i="1"/>
  <c r="F194" i="4"/>
  <c r="J107" i="1"/>
  <c r="I193" i="1"/>
  <c r="F193" i="3"/>
  <c r="H81" i="1"/>
  <c r="H11" i="1"/>
  <c r="J11" i="1"/>
  <c r="J24" i="1"/>
  <c r="F63" i="1"/>
  <c r="H63" i="1"/>
  <c r="H70" i="1"/>
  <c r="J70" i="1"/>
  <c r="H83" i="1"/>
  <c r="H110" i="1"/>
  <c r="H122" i="1"/>
  <c r="J139" i="1"/>
  <c r="H138" i="1"/>
  <c r="J138" i="1"/>
  <c r="J135" i="1"/>
  <c r="J163" i="1"/>
  <c r="F92" i="4"/>
  <c r="F21" i="1"/>
  <c r="J21" i="1"/>
  <c r="J43" i="1"/>
  <c r="J85" i="1"/>
  <c r="H111" i="1"/>
  <c r="H112" i="1"/>
  <c r="H183" i="1"/>
  <c r="I21" i="1"/>
  <c r="H79" i="1"/>
  <c r="G91" i="1"/>
  <c r="H91" i="1"/>
  <c r="H177" i="1"/>
  <c r="F189" i="1"/>
  <c r="J68" i="1"/>
  <c r="H68" i="1"/>
  <c r="J65" i="1"/>
  <c r="F77" i="1"/>
  <c r="J77" i="1"/>
  <c r="J149" i="1"/>
  <c r="F161" i="1"/>
  <c r="H161" i="1"/>
  <c r="H149" i="1"/>
  <c r="H123" i="1"/>
  <c r="J123" i="1"/>
  <c r="H179" i="1"/>
  <c r="J179" i="1"/>
  <c r="J13" i="1"/>
  <c r="H13" i="1"/>
  <c r="J51" i="1"/>
  <c r="H178" i="1"/>
  <c r="H67" i="1"/>
  <c r="J67" i="1"/>
  <c r="H137" i="1"/>
  <c r="J55" i="1"/>
  <c r="H55" i="1"/>
  <c r="H163" i="1"/>
  <c r="G175" i="1"/>
  <c r="H175" i="1"/>
  <c r="H10" i="1"/>
  <c r="J10" i="1"/>
  <c r="H80" i="1"/>
  <c r="F91" i="1"/>
  <c r="J80" i="1"/>
  <c r="G49" i="1"/>
  <c r="H39" i="1"/>
  <c r="H95" i="1"/>
  <c r="J95" i="1"/>
  <c r="J28" i="1"/>
  <c r="H28" i="1"/>
  <c r="J113" i="1"/>
  <c r="J169" i="1"/>
  <c r="H96" i="1"/>
  <c r="H125" i="1"/>
  <c r="H181" i="1"/>
  <c r="H14" i="1"/>
  <c r="H154" i="1"/>
  <c r="H15" i="1"/>
  <c r="H140" i="1"/>
  <c r="H57" i="1"/>
  <c r="J193" i="1"/>
  <c r="H193" i="1"/>
  <c r="F50" i="4"/>
  <c r="G161" i="3"/>
  <c r="F147" i="3"/>
  <c r="G105" i="3"/>
  <c r="F91" i="3"/>
  <c r="F119" i="1"/>
  <c r="H119" i="1"/>
  <c r="J108" i="1"/>
  <c r="J133" i="1"/>
  <c r="I91" i="1"/>
  <c r="F190" i="4"/>
  <c r="G190" i="4"/>
  <c r="H190" i="4"/>
  <c r="F78" i="4"/>
  <c r="G78" i="4"/>
  <c r="H78" i="4"/>
  <c r="F64" i="4"/>
  <c r="F36" i="4"/>
  <c r="G36" i="4"/>
  <c r="H36" i="4"/>
  <c r="F175" i="3"/>
  <c r="F49" i="3"/>
  <c r="F21" i="3"/>
  <c r="H44" i="1"/>
  <c r="H45" i="1"/>
  <c r="F49" i="1"/>
  <c r="J49" i="1"/>
  <c r="J105" i="1"/>
  <c r="E105" i="1"/>
  <c r="J63" i="1"/>
  <c r="I63" i="1"/>
  <c r="H35" i="1"/>
  <c r="M21" i="1"/>
  <c r="F162" i="4"/>
  <c r="G148" i="4"/>
  <c r="H148" i="4"/>
  <c r="G134" i="4"/>
  <c r="H134" i="4"/>
  <c r="D192" i="4"/>
  <c r="G120" i="4"/>
  <c r="H120" i="4"/>
  <c r="F120" i="4"/>
  <c r="E192" i="4"/>
  <c r="G106" i="4"/>
  <c r="H106" i="4"/>
  <c r="C192" i="4"/>
  <c r="G64" i="4"/>
  <c r="H64" i="4"/>
  <c r="F189" i="3"/>
  <c r="G189" i="3"/>
  <c r="F161" i="3"/>
  <c r="G147" i="3"/>
  <c r="G133" i="3"/>
  <c r="G119" i="3"/>
  <c r="F105" i="3"/>
  <c r="E191" i="3"/>
  <c r="G63" i="3"/>
  <c r="G49" i="3"/>
  <c r="D191" i="3"/>
  <c r="G35" i="3"/>
  <c r="C191" i="3"/>
  <c r="O41" i="2"/>
  <c r="O20" i="2"/>
  <c r="H49" i="1"/>
  <c r="D23" i="2"/>
  <c r="J189" i="1"/>
  <c r="M189" i="1"/>
  <c r="E189" i="1"/>
  <c r="M175" i="1"/>
  <c r="J175" i="1"/>
  <c r="I175" i="1"/>
  <c r="E175" i="1"/>
  <c r="M161" i="1"/>
  <c r="I161" i="1"/>
  <c r="J161" i="1"/>
  <c r="J147" i="1"/>
  <c r="I147" i="1"/>
  <c r="I133" i="1"/>
  <c r="M119" i="1"/>
  <c r="K191" i="1"/>
  <c r="J119" i="1"/>
  <c r="M105" i="1"/>
  <c r="H105" i="1"/>
  <c r="J91" i="1"/>
  <c r="G191" i="1"/>
  <c r="H77" i="1"/>
  <c r="F191" i="1"/>
  <c r="D191" i="1"/>
  <c r="M63" i="1"/>
  <c r="L191" i="1"/>
  <c r="I49" i="1"/>
  <c r="M35" i="1"/>
  <c r="I35" i="1"/>
  <c r="C191" i="1"/>
  <c r="H21" i="1"/>
  <c r="O12" i="2"/>
  <c r="E44" i="2"/>
  <c r="G23" i="2"/>
  <c r="F44" i="2"/>
  <c r="O18" i="2"/>
  <c r="C44" i="2"/>
  <c r="K44" i="2"/>
  <c r="J23" i="2"/>
  <c r="O31" i="2"/>
  <c r="M23" i="2"/>
  <c r="I44" i="2"/>
  <c r="O33" i="2"/>
  <c r="O40" i="2"/>
  <c r="J44" i="2"/>
  <c r="K23" i="2"/>
  <c r="C23" i="2"/>
  <c r="B44" i="2"/>
  <c r="N44" i="2"/>
  <c r="B23" i="2"/>
  <c r="F23" i="2"/>
  <c r="N23" i="2"/>
  <c r="G44" i="2"/>
  <c r="I23" i="2"/>
  <c r="O34" i="2"/>
  <c r="O14" i="2"/>
  <c r="D44" i="2"/>
  <c r="O15" i="2"/>
  <c r="O36" i="2"/>
  <c r="O16" i="2"/>
  <c r="O37" i="2"/>
  <c r="O38" i="2"/>
  <c r="O39" i="2"/>
  <c r="M44" i="2"/>
  <c r="O19" i="2"/>
  <c r="L23" i="2"/>
  <c r="O10" i="2"/>
  <c r="L44" i="2"/>
  <c r="H44" i="2"/>
  <c r="O13" i="2"/>
  <c r="O17" i="2"/>
  <c r="O32" i="2"/>
  <c r="E23" i="2"/>
  <c r="O11" i="2"/>
  <c r="O35" i="2"/>
  <c r="G192" i="4"/>
  <c r="H192" i="4"/>
  <c r="F192" i="4"/>
  <c r="F191" i="3"/>
  <c r="G191" i="3"/>
  <c r="I191" i="1"/>
  <c r="M191" i="1"/>
  <c r="H191" i="1"/>
  <c r="J191" i="1"/>
  <c r="E191" i="1"/>
  <c r="O23" i="2"/>
  <c r="O44" i="2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<sst xmlns="http://schemas.openxmlformats.org/spreadsheetml/2006/main" count="192" uniqueCount="75">
  <si>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</si>
  <si>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</si>
  <si>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</si>
  <si>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</si>
  <si>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</si>
  <si>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</si>
  <si>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</si>
  <si>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</si>
  <si>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</si>
  <si>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</si>
  <si>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</si>
  <si>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</si>
  <si>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</si>
  <si>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</si>
  <si>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</si>
  <si>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</si>
  <si>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</si>
  <si>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</si>
  <si>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</si>
  <si>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</si>
  <si>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</si>
  <si>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</si>
  <si>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</si>
  <si>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</si>
  <si>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</si>
  <si>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</si>
  <si>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</si>
  <si>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</si>
  <si>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</si>
  <si>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</si>
  <si>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</si>
  <si>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</si>
  <si>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</si>
  <si>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</si>
  <si>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</si>
  <si>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</si>
  <si>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</si>
  <si>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</si>
  <si>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</si>
  <si>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</si>
  <si>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</si>
  <si>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</si>
  <si>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</si>
  <si>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</si>
  <si>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</si>
  <si>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</si>
  <si>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</si>
  <si>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</si>
  <si>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</si>
  <si>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</si>
  <si>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</si>
  <si>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</si>
  <si>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</si>
  <si>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</si>
  <si>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</si>
  <si>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</si>
  <si>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</si>
  <si>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</si>
  <si>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</si>
  <si>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</si>
  <si>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</si>
  <si>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</si>
  <si>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</si>
  <si>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</si>
  <si>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</si>
  <si>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</si>
  <si>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</si>
  <si>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</si>
  <si>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</si>
  <si>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MAY 31, 2019</t>
  </si>
  <si>
    <t>(as reported on the tax remittal database dtd 6/6/19)</t>
  </si>
  <si>
    <t>FOR THE MONTH ENDED:   MAY 31, 2019</t>
  </si>
  <si>
    <t>THRU MONTH ENDED:   MAY 31, 2019</t>
  </si>
  <si>
    <t>(as reported on the tax remittal database as of 6/6/19)</t>
  </si>
  <si>
    <t>THRU MONTH ENDED:    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</si>
</sst>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5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 t="shared" ref="E9:E19" si="0">(+C9-D9)/D9</f>
        <v>-0.11384965785112203</v>
      </c>
      <c r="F9" s="21">
        <f>+C9-122888</f>
        <v>138568</v>
      </c>
      <c r="G9" s="21">
        <f>+D9-138811</f>
        <v>156236</v>
      </c>
      <c r="H9" s="23">
        <f t="shared" ref="H9:H19" si="1">(+F9-G9)/G9</f>
        <v>-0.11308533244578714</v>
      </c>
      <c r="I9" s="24">
        <f t="shared" ref="I9:I19" si="2">K9/C9</f>
        <v>51.156026597209475</v>
      </c>
      <c r="J9" s="24">
        <f t="shared" ref="J9:J19" si="3">K9/F9</f>
        <v>96.523368237977024</v>
      </c>
      <c r="K9" s="21">
        <v>13375050.09</v>
      </c>
      <c r="L9" s="21">
        <v>14143686.630000001</v>
      </c>
      <c r="M9" s="25">
        <f t="shared" ref="M9:M19" si="4">(+K9-L9)/L9</f>
        <v>-5.4344850823381183E-2</v>
      </c>
      <c r="N9" s="10"/>
      <c r="R9" s="2"/>
    </row>
    <row r="10" spans="1:18" ht="15.75" x14ac:dyDescent="0.25">
      <c r="A10" s="19"/>
      <c r="B10" s="20">
        <f>DATE(2018,8,1)</f>
        <v>43313</v>
      </c>
      <c r="C10" s="21">
        <v>266367</v>
      </c>
      <c r="D10" s="22">
        <v>268688</v>
      </c>
      <c r="E10" s="23">
        <f t="shared" si="0"/>
        <v>-8.6382718990055379E-3</v>
      </c>
      <c r="F10" s="21">
        <f>+C10-122166</f>
        <v>144201</v>
      </c>
      <c r="G10" s="21">
        <f>+D10-125473</f>
        <v>143215</v>
      </c>
      <c r="H10" s="23">
        <f t="shared" si="1"/>
        <v>6.8847536920015363E-3</v>
      </c>
      <c r="I10" s="24">
        <f t="shared" si="2"/>
        <v>52.401017543464469</v>
      </c>
      <c r="J10" s="24">
        <f t="shared" si="3"/>
        <v>96.794764530065677</v>
      </c>
      <c r="K10" s="21">
        <v>13957901.84</v>
      </c>
      <c r="L10" s="21">
        <v>13000027.539999999</v>
      </c>
      <c r="M10" s="25">
        <f t="shared" si="4"/>
        <v>7.3682482368033569E-2</v>
      </c>
      <c r="N10" s="10"/>
      <c r="R10" s="2"/>
    </row>
    <row r="11" spans="1:18" ht="15.75" x14ac:dyDescent="0.25">
      <c r="A11" s="19"/>
      <c r="B11" s="20">
        <f>DATE(2018,9,1)</f>
        <v>43344</v>
      </c>
      <c r="C11" s="21">
        <v>263613</v>
      </c>
      <c r="D11" s="22">
        <v>281607</v>
      </c>
      <c r="E11" s="23">
        <f t="shared" si="0"/>
        <v>-6.3897559364646472E-2</v>
      </c>
      <c r="F11" s="21">
        <f>+C11-122145</f>
        <v>141468</v>
      </c>
      <c r="G11" s="21">
        <f>+D11-134639</f>
        <v>146968</v>
      </c>
      <c r="H11" s="23">
        <f t="shared" si="1"/>
        <v>-3.7423112514288828E-2</v>
      </c>
      <c r="I11" s="24">
        <f t="shared" si="2"/>
        <v>51.348386839799254</v>
      </c>
      <c r="J11" s="24">
        <f t="shared" si="3"/>
        <v>95.68313894308254</v>
      </c>
      <c r="K11" s="21">
        <v>13536102.300000001</v>
      </c>
      <c r="L11" s="21">
        <v>13577167.09</v>
      </c>
      <c r="M11" s="25">
        <f t="shared" si="4"/>
        <v>-3.0245477372260214E-3</v>
      </c>
      <c r="N11" s="10"/>
      <c r="R11" s="2"/>
    </row>
    <row r="12" spans="1:18" ht="15.75" x14ac:dyDescent="0.25">
      <c r="A12" s="19"/>
      <c r="B12" s="20">
        <f>DATE(2018,10,1)</f>
        <v>43374</v>
      </c>
      <c r="C12" s="21">
        <v>264243</v>
      </c>
      <c r="D12" s="22">
        <v>266701</v>
      </c>
      <c r="E12" s="23">
        <f t="shared" si="0"/>
        <v>-9.2163133996497944E-3</v>
      </c>
      <c r="F12" s="21">
        <f>+C12-121413</f>
        <v>142830</v>
      </c>
      <c r="G12" s="21">
        <f>+D12-124344</f>
        <v>142357</v>
      </c>
      <c r="H12" s="23">
        <f t="shared" si="1"/>
        <v>3.3226325365103226E-3</v>
      </c>
      <c r="I12" s="24">
        <f t="shared" si="2"/>
        <v>52.850075044561258</v>
      </c>
      <c r="J12" s="24">
        <f t="shared" si="3"/>
        <v>97.775413988657846</v>
      </c>
      <c r="K12" s="21">
        <v>13965262.380000001</v>
      </c>
      <c r="L12" s="21">
        <v>13210098.189999999</v>
      </c>
      <c r="M12" s="25">
        <f t="shared" si="4"/>
        <v>5.7165675768531238E-2</v>
      </c>
      <c r="N12" s="10"/>
      <c r="R12" s="2"/>
    </row>
    <row r="13" spans="1:18" ht="15.75" x14ac:dyDescent="0.25">
      <c r="A13" s="19"/>
      <c r="B13" s="20">
        <f>DATE(2018,11,1)</f>
        <v>43405</v>
      </c>
      <c r="C13" s="21">
        <v>252868</v>
      </c>
      <c r="D13" s="22">
        <v>271175</v>
      </c>
      <c r="E13" s="23">
        <f t="shared" si="0"/>
        <v>-6.750991057435235E-2</v>
      </c>
      <c r="F13" s="21">
        <f>+C13-117772</f>
        <v>135096</v>
      </c>
      <c r="G13" s="21">
        <f>+D13-126340</f>
        <v>144835</v>
      </c>
      <c r="H13" s="23">
        <f t="shared" si="1"/>
        <v>-6.7242034038733731E-2</v>
      </c>
      <c r="I13" s="24">
        <f t="shared" si="2"/>
        <v>54.1405038992676</v>
      </c>
      <c r="J13" s="24">
        <f t="shared" si="3"/>
        <v>101.33831453188843</v>
      </c>
      <c r="K13" s="21">
        <v>13690400.939999999</v>
      </c>
      <c r="L13" s="21">
        <v>14153820.17</v>
      </c>
      <c r="M13" s="25">
        <f t="shared" si="4"/>
        <v>-3.2741636140202597E-2</v>
      </c>
      <c r="N13" s="10"/>
      <c r="R13" s="2"/>
    </row>
    <row r="14" spans="1:18" ht="15.75" x14ac:dyDescent="0.25">
      <c r="A14" s="19"/>
      <c r="B14" s="20">
        <f>DATE(2018,12,1)</f>
        <v>43435</v>
      </c>
      <c r="C14" s="21">
        <v>287683</v>
      </c>
      <c r="D14" s="22">
        <v>285888</v>
      </c>
      <c r="E14" s="23">
        <f t="shared" si="0"/>
        <v>6.2786825610029106E-3</v>
      </c>
      <c r="F14" s="21">
        <f>+C14-136878</f>
        <v>150805</v>
      </c>
      <c r="G14" s="21">
        <f>+D14-135160</f>
        <v>150728</v>
      </c>
      <c r="H14" s="23">
        <f t="shared" si="1"/>
        <v>5.1085398864179183E-4</v>
      </c>
      <c r="I14" s="24">
        <f t="shared" si="2"/>
        <v>53.191660577788745</v>
      </c>
      <c r="J14" s="24">
        <f t="shared" si="3"/>
        <v>101.47101548357151</v>
      </c>
      <c r="K14" s="21">
        <v>15302336.49</v>
      </c>
      <c r="L14" s="21">
        <v>14422386.16</v>
      </c>
      <c r="M14" s="25">
        <f t="shared" si="4"/>
        <v>6.1012811627559421E-2</v>
      </c>
      <c r="N14" s="10"/>
      <c r="R14" s="2"/>
    </row>
    <row r="15" spans="1:18" ht="15.75" x14ac:dyDescent="0.25">
      <c r="A15" s="19"/>
      <c r="B15" s="20">
        <f>DATE(2019,1,1)</f>
        <v>43466</v>
      </c>
      <c r="C15" s="21">
        <v>239286</v>
      </c>
      <c r="D15" s="22">
        <v>251374</v>
      </c>
      <c r="E15" s="23">
        <f t="shared" si="0"/>
        <v>-4.8087709946136037E-2</v>
      </c>
      <c r="F15" s="21">
        <f>+C15-112115</f>
        <v>127171</v>
      </c>
      <c r="G15" s="21">
        <f>+D15-118404</f>
        <v>132970</v>
      </c>
      <c r="H15" s="23">
        <f t="shared" si="1"/>
        <v>-4.3611340903963298E-2</v>
      </c>
      <c r="I15" s="24">
        <f t="shared" si="2"/>
        <v>52.187992862098078</v>
      </c>
      <c r="J15" s="24">
        <f t="shared" si="3"/>
        <v>98.197356787317872</v>
      </c>
      <c r="K15" s="21">
        <v>12487856.060000001</v>
      </c>
      <c r="L15" s="21">
        <v>12588832.869999999</v>
      </c>
      <c r="M15" s="25">
        <f t="shared" si="4"/>
        <v>-8.0211415182604353E-3</v>
      </c>
      <c r="N15" s="10"/>
      <c r="R15" s="2"/>
    </row>
    <row r="16" spans="1:18" ht="15.75" x14ac:dyDescent="0.25">
      <c r="A16" s="19"/>
      <c r="B16" s="20">
        <f>DATE(2019,2,1)</f>
        <v>43497</v>
      </c>
      <c r="C16" s="21">
        <v>236408</v>
      </c>
      <c r="D16" s="22">
        <v>260428</v>
      </c>
      <c r="E16" s="23">
        <f t="shared" si="0"/>
        <v>-9.2232786029152011E-2</v>
      </c>
      <c r="F16" s="21">
        <f>+C16-111522</f>
        <v>124886</v>
      </c>
      <c r="G16" s="21">
        <f>+D16-124324</f>
        <v>136104</v>
      </c>
      <c r="H16" s="23">
        <f t="shared" si="1"/>
        <v>-8.2422265326515018E-2</v>
      </c>
      <c r="I16" s="24">
        <f t="shared" si="2"/>
        <v>52.854409580048049</v>
      </c>
      <c r="J16" s="24">
        <f t="shared" si="3"/>
        <v>100.05289031596816</v>
      </c>
      <c r="K16" s="21">
        <v>12495205.26</v>
      </c>
      <c r="L16" s="21">
        <v>13796430.74</v>
      </c>
      <c r="M16" s="25">
        <f t="shared" si="4"/>
        <v>-9.4316095555595877E-2</v>
      </c>
      <c r="N16" s="10"/>
      <c r="R16" s="2"/>
    </row>
    <row r="17" spans="1:18" ht="15.75" x14ac:dyDescent="0.25">
      <c r="A17" s="19"/>
      <c r="B17" s="20">
        <f>DATE(2019,3,1)</f>
        <v>43525</v>
      </c>
      <c r="C17" s="21">
        <v>292059</v>
      </c>
      <c r="D17" s="22">
        <v>299040</v>
      </c>
      <c r="E17" s="23">
        <f t="shared" si="0"/>
        <v>-2.3344703049759229E-2</v>
      </c>
      <c r="F17" s="21">
        <f>+C17-138186</f>
        <v>153873</v>
      </c>
      <c r="G17" s="21">
        <f>+D17-144322</f>
        <v>154718</v>
      </c>
      <c r="H17" s="23">
        <f t="shared" si="1"/>
        <v>-5.4615493995527351E-3</v>
      </c>
      <c r="I17" s="24">
        <f t="shared" si="2"/>
        <v>52.949772922594406</v>
      </c>
      <c r="J17" s="24">
        <f t="shared" si="3"/>
        <v>100.50143774411366</v>
      </c>
      <c r="K17" s="21">
        <v>15464457.73</v>
      </c>
      <c r="L17" s="21">
        <v>15461490.289999999</v>
      </c>
      <c r="M17" s="25">
        <f t="shared" si="4"/>
        <v>1.9192457805445746E-4</v>
      </c>
      <c r="N17" s="10"/>
      <c r="R17" s="2"/>
    </row>
    <row r="18" spans="1:18" ht="15.75" x14ac:dyDescent="0.25">
      <c r="A18" s="19"/>
      <c r="B18" s="20">
        <f>DATE(2019,4,1)</f>
        <v>43556</v>
      </c>
      <c r="C18" s="21">
        <v>246566</v>
      </c>
      <c r="D18" s="22">
        <v>263459</v>
      </c>
      <c r="E18" s="23">
        <f t="shared" si="0"/>
        <v>-6.4120033857260519E-2</v>
      </c>
      <c r="F18" s="21">
        <f>+C18-115948</f>
        <v>130618</v>
      </c>
      <c r="G18" s="21">
        <f>+D18-124825</f>
        <v>138634</v>
      </c>
      <c r="H18" s="23">
        <f t="shared" si="1"/>
        <v>-5.7821313674856094E-2</v>
      </c>
      <c r="I18" s="24">
        <f t="shared" si="2"/>
        <v>53.683809487115013</v>
      </c>
      <c r="J18" s="24">
        <f t="shared" si="3"/>
        <v>101.33827014653417</v>
      </c>
      <c r="K18" s="21">
        <v>13236602.17</v>
      </c>
      <c r="L18" s="21">
        <v>13808458.529999999</v>
      </c>
      <c r="M18" s="25">
        <f t="shared" si="4"/>
        <v>-4.1413482812552534E-2</v>
      </c>
      <c r="N18" s="10"/>
      <c r="R18" s="2"/>
    </row>
    <row r="19" spans="1:18" ht="15.75" x14ac:dyDescent="0.25">
      <c r="A19" s="19"/>
      <c r="B19" s="20">
        <f>DATE(2019,5,1)</f>
        <v>43586</v>
      </c>
      <c r="C19" s="21">
        <v>264599</v>
      </c>
      <c r="D19" s="22">
        <v>269584</v>
      </c>
      <c r="E19" s="23">
        <f t="shared" si="0"/>
        <v>-1.8491453498723959E-2</v>
      </c>
      <c r="F19" s="21">
        <f>+C19-120419</f>
        <v>144180</v>
      </c>
      <c r="G19" s="21">
        <f>+D19-126735</f>
        <v>142849</v>
      </c>
      <c r="H19" s="23">
        <f t="shared" si="1"/>
        <v>9.3175310992726582E-3</v>
      </c>
      <c r="I19" s="24">
        <f t="shared" si="2"/>
        <v>54.799217003843552</v>
      </c>
      <c r="J19" s="24">
        <f t="shared" si="3"/>
        <v>100.56747135525038</v>
      </c>
      <c r="K19" s="21">
        <v>14499818.02</v>
      </c>
      <c r="L19" s="21">
        <v>13587634.17</v>
      </c>
      <c r="M19" s="25">
        <f t="shared" si="4"/>
        <v>6.7133383088426174E-2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Top="1" thickBot="1" x14ac:dyDescent="0.3">
      <c r="A21" s="26" t="s">
        <v>14</v>
      </c>
      <c r="B21" s="27"/>
      <c r="C21" s="28">
        <f>SUM(C9:C20)</f>
        <v>2875148</v>
      </c>
      <c r="D21" s="28">
        <f>SUM(D9:D20)</f>
        <v>3012991</v>
      </c>
      <c r="E21" s="279">
        <f>(+C21-D21)/D21</f>
        <v>-4.5749555840027399E-2</v>
      </c>
      <c r="F21" s="28">
        <f>SUM(F9:F20)</f>
        <v>1533696</v>
      </c>
      <c r="G21" s="28">
        <f>SUM(G9:G20)</f>
        <v>1589614</v>
      </c>
      <c r="H21" s="30">
        <f>(+F21-G21)/G21</f>
        <v>-3.51770933069286E-2</v>
      </c>
      <c r="I21" s="31">
        <f>K21/C21</f>
        <v>52.870667276954102</v>
      </c>
      <c r="J21" s="31">
        <f>K21/F21</f>
        <v>99.114161659155414</v>
      </c>
      <c r="K21" s="28">
        <f>SUM(K9:K20)</f>
        <v>152010993.28000003</v>
      </c>
      <c r="L21" s="28">
        <f>SUM(L9:L20)</f>
        <v>151750032.38</v>
      </c>
      <c r="M21" s="32">
        <f>(+K21-L21)/L21</f>
        <v>1.7196760745761086E-3</v>
      </c>
      <c r="N21" s="10"/>
      <c r="R21" s="2"/>
    </row>
    <row r="22" spans="1:18" ht="15.75" customHeight="1" thickTop="1" x14ac:dyDescent="0.25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 x14ac:dyDescent="0.25">
      <c r="A23" s="19" t="s">
        <v>15</v>
      </c>
      <c r="B23" s="20">
        <f>DATE(2018,7,1)</f>
        <v>43282</v>
      </c>
      <c r="C23" s="21">
        <v>142478</v>
      </c>
      <c r="D23" s="21">
        <v>154485</v>
      </c>
      <c r="E23" s="23">
        <f t="shared" ref="E23:E33" si="5">(+C23-D23)/D23</f>
        <v>-7.7722756254652553E-2</v>
      </c>
      <c r="F23" s="21">
        <f>+C23-67444</f>
        <v>75034</v>
      </c>
      <c r="G23" s="21">
        <f>+D23-74453</f>
        <v>80032</v>
      </c>
      <c r="H23" s="23">
        <f t="shared" ref="H23:H33" si="6">(+F23-G23)/G23</f>
        <v>-6.2450019992003197E-2</v>
      </c>
      <c r="I23" s="24">
        <f t="shared" ref="I23:I33" si="7">K23/C23</f>
        <v>51.761326380213085</v>
      </c>
      <c r="J23" s="24">
        <f t="shared" ref="J23:J33" si="8">K23/F23</f>
        <v>98.28678012634272</v>
      </c>
      <c r="K23" s="21">
        <v>7374850.2599999998</v>
      </c>
      <c r="L23" s="21">
        <v>7453089.46</v>
      </c>
      <c r="M23" s="25">
        <f t="shared" ref="M23:M33" si="9">(+K23-L23)/L23</f>
        <v>-1.0497552782628237E-2</v>
      </c>
      <c r="N23" s="10"/>
      <c r="R23" s="2"/>
    </row>
    <row r="24" spans="1:18" ht="15.75" x14ac:dyDescent="0.25">
      <c r="A24" s="19"/>
      <c r="B24" s="20">
        <f>DATE(2018,8,1)</f>
        <v>43313</v>
      </c>
      <c r="C24" s="21">
        <v>137794</v>
      </c>
      <c r="D24" s="21">
        <v>146885</v>
      </c>
      <c r="E24" s="23">
        <f t="shared" si="5"/>
        <v>-6.1891956292337541E-2</v>
      </c>
      <c r="F24" s="21">
        <f>+C24-65911</f>
        <v>71883</v>
      </c>
      <c r="G24" s="21">
        <f>+D24-69501</f>
        <v>77384</v>
      </c>
      <c r="H24" s="23">
        <f t="shared" si="6"/>
        <v>-7.1087046417864161E-2</v>
      </c>
      <c r="I24" s="24">
        <f t="shared" si="7"/>
        <v>51.516040321058973</v>
      </c>
      <c r="J24" s="24">
        <f t="shared" si="8"/>
        <v>98.75215642085054</v>
      </c>
      <c r="K24" s="21">
        <v>7098601.2599999998</v>
      </c>
      <c r="L24" s="21">
        <v>6887015.3099999996</v>
      </c>
      <c r="M24" s="25">
        <f t="shared" si="9"/>
        <v>3.0722445134218845E-2</v>
      </c>
      <c r="N24" s="10"/>
      <c r="R24" s="2"/>
    </row>
    <row r="25" spans="1:18" ht="15.75" x14ac:dyDescent="0.25">
      <c r="A25" s="19"/>
      <c r="B25" s="20">
        <f>DATE(2018,9,1)</f>
        <v>43344</v>
      </c>
      <c r="C25" s="21">
        <v>137262</v>
      </c>
      <c r="D25" s="21">
        <v>147791</v>
      </c>
      <c r="E25" s="23">
        <f t="shared" si="5"/>
        <v>-7.1242497851695979E-2</v>
      </c>
      <c r="F25" s="21">
        <f>+C25-65092</f>
        <v>72170</v>
      </c>
      <c r="G25" s="21">
        <f>+D25-70004</f>
        <v>77787</v>
      </c>
      <c r="H25" s="23">
        <f t="shared" si="6"/>
        <v>-7.2210009384601537E-2</v>
      </c>
      <c r="I25" s="24">
        <f t="shared" si="7"/>
        <v>47.463808045926768</v>
      </c>
      <c r="J25" s="24">
        <f t="shared" si="8"/>
        <v>90.272650963004011</v>
      </c>
      <c r="K25" s="21">
        <v>6514977.2199999997</v>
      </c>
      <c r="L25" s="21">
        <v>6683115.0899999999</v>
      </c>
      <c r="M25" s="25">
        <f t="shared" si="9"/>
        <v>-2.5158607585792768E-2</v>
      </c>
      <c r="N25" s="10"/>
      <c r="R25" s="2"/>
    </row>
    <row r="26" spans="1:18" ht="15.75" x14ac:dyDescent="0.25">
      <c r="A26" s="19"/>
      <c r="B26" s="20">
        <f>DATE(2018,10,1)</f>
        <v>43374</v>
      </c>
      <c r="C26" s="21">
        <v>119937</v>
      </c>
      <c r="D26" s="21">
        <v>137700</v>
      </c>
      <c r="E26" s="23">
        <f t="shared" si="5"/>
        <v>-0.12899782135076251</v>
      </c>
      <c r="F26" s="21">
        <f>+C26-56627</f>
        <v>63310</v>
      </c>
      <c r="G26" s="21">
        <f>+D26-65646</f>
        <v>72054</v>
      </c>
      <c r="H26" s="23">
        <f t="shared" si="6"/>
        <v>-0.12135342937241514</v>
      </c>
      <c r="I26" s="24">
        <f t="shared" si="7"/>
        <v>52.920465494384551</v>
      </c>
      <c r="J26" s="24">
        <f t="shared" si="8"/>
        <v>100.2546496604012</v>
      </c>
      <c r="K26" s="21">
        <v>6347121.8700000001</v>
      </c>
      <c r="L26" s="21">
        <v>6249987.8600000003</v>
      </c>
      <c r="M26" s="25">
        <f t="shared" si="9"/>
        <v>1.5541471787754764E-2</v>
      </c>
      <c r="N26" s="10"/>
      <c r="R26" s="2"/>
    </row>
    <row r="27" spans="1:18" ht="15.75" x14ac:dyDescent="0.25">
      <c r="A27" s="19"/>
      <c r="B27" s="20">
        <f>DATE(2018,11,1)</f>
        <v>43405</v>
      </c>
      <c r="C27" s="21">
        <v>113387</v>
      </c>
      <c r="D27" s="21">
        <v>128271</v>
      </c>
      <c r="E27" s="23">
        <f t="shared" si="5"/>
        <v>-0.11603558091852406</v>
      </c>
      <c r="F27" s="21">
        <f>+C27-54700</f>
        <v>58687</v>
      </c>
      <c r="G27" s="21">
        <f>+D27-61249</f>
        <v>67022</v>
      </c>
      <c r="H27" s="23">
        <f t="shared" si="6"/>
        <v>-0.1243621497418758</v>
      </c>
      <c r="I27" s="24">
        <f t="shared" si="7"/>
        <v>50.957192535299463</v>
      </c>
      <c r="J27" s="24">
        <f t="shared" si="8"/>
        <v>98.452522534803279</v>
      </c>
      <c r="K27" s="21">
        <v>5777883.1900000004</v>
      </c>
      <c r="L27" s="21">
        <v>6197481.3499999996</v>
      </c>
      <c r="M27" s="25">
        <f t="shared" si="9"/>
        <v>-6.7704626493147776E-2</v>
      </c>
      <c r="N27" s="10"/>
      <c r="R27" s="2"/>
    </row>
    <row r="28" spans="1:18" ht="15.75" x14ac:dyDescent="0.25">
      <c r="A28" s="19"/>
      <c r="B28" s="20">
        <f>DATE(2018,12,1)</f>
        <v>43435</v>
      </c>
      <c r="C28" s="21">
        <v>130957</v>
      </c>
      <c r="D28" s="21">
        <v>135202</v>
      </c>
      <c r="E28" s="23">
        <f t="shared" si="5"/>
        <v>-3.1397464534548308E-2</v>
      </c>
      <c r="F28" s="21">
        <f>+C28-63848</f>
        <v>67109</v>
      </c>
      <c r="G28" s="21">
        <f>+D28-65090</f>
        <v>70112</v>
      </c>
      <c r="H28" s="23">
        <f t="shared" si="6"/>
        <v>-4.2831469648562298E-2</v>
      </c>
      <c r="I28" s="24">
        <f t="shared" si="7"/>
        <v>51.437310873034662</v>
      </c>
      <c r="J28" s="24">
        <f t="shared" si="8"/>
        <v>100.37514968186085</v>
      </c>
      <c r="K28" s="21">
        <v>6736075.9199999999</v>
      </c>
      <c r="L28" s="21">
        <v>6560683.46</v>
      </c>
      <c r="M28" s="25">
        <f t="shared" si="9"/>
        <v>2.6733870193456941E-2</v>
      </c>
      <c r="N28" s="10"/>
      <c r="R28" s="2"/>
    </row>
    <row r="29" spans="1:18" ht="15.75" x14ac:dyDescent="0.25">
      <c r="A29" s="19"/>
      <c r="B29" s="20">
        <f>DATE(2019,1,1)</f>
        <v>43466</v>
      </c>
      <c r="C29" s="21">
        <v>105704</v>
      </c>
      <c r="D29" s="21">
        <v>122998</v>
      </c>
      <c r="E29" s="23">
        <f t="shared" si="5"/>
        <v>-0.14060391225873592</v>
      </c>
      <c r="F29" s="21">
        <f>+C29-51270</f>
        <v>54434</v>
      </c>
      <c r="G29" s="21">
        <f>+D29-59574</f>
        <v>63424</v>
      </c>
      <c r="H29" s="23">
        <f t="shared" si="6"/>
        <v>-0.14174445005045408</v>
      </c>
      <c r="I29" s="24">
        <f t="shared" si="7"/>
        <v>49.217433304321503</v>
      </c>
      <c r="J29" s="24">
        <f t="shared" si="8"/>
        <v>95.574081823860098</v>
      </c>
      <c r="K29" s="21">
        <v>5202479.57</v>
      </c>
      <c r="L29" s="21">
        <v>6036441.3099999996</v>
      </c>
      <c r="M29" s="25">
        <f t="shared" si="9"/>
        <v>-0.13815453462927801</v>
      </c>
      <c r="N29" s="10"/>
      <c r="R29" s="2"/>
    </row>
    <row r="30" spans="1:18" ht="15.75" x14ac:dyDescent="0.25">
      <c r="A30" s="19"/>
      <c r="B30" s="20">
        <f>DATE(2019,2,1)</f>
        <v>43497</v>
      </c>
      <c r="C30" s="21">
        <v>119333</v>
      </c>
      <c r="D30" s="21">
        <v>129346</v>
      </c>
      <c r="E30" s="23">
        <f t="shared" si="5"/>
        <v>-7.7412521454084393E-2</v>
      </c>
      <c r="F30" s="21">
        <f>+C30-58302</f>
        <v>61031</v>
      </c>
      <c r="G30" s="21">
        <f>+D30-62566</f>
        <v>66780</v>
      </c>
      <c r="H30" s="23">
        <f t="shared" si="6"/>
        <v>-8.6088649296196459E-2</v>
      </c>
      <c r="I30" s="24">
        <f t="shared" si="7"/>
        <v>52.27453822496711</v>
      </c>
      <c r="J30" s="24">
        <f t="shared" si="8"/>
        <v>102.21162147105569</v>
      </c>
      <c r="K30" s="21">
        <v>6238077.4699999997</v>
      </c>
      <c r="L30" s="21">
        <v>6427758.5</v>
      </c>
      <c r="M30" s="25">
        <f t="shared" si="9"/>
        <v>-2.9509669661671369E-2</v>
      </c>
      <c r="N30" s="10"/>
      <c r="R30" s="2"/>
    </row>
    <row r="31" spans="1:18" ht="15.75" x14ac:dyDescent="0.25">
      <c r="A31" s="19"/>
      <c r="B31" s="20">
        <f>DATE(2019,3,1)</f>
        <v>43525</v>
      </c>
      <c r="C31" s="21">
        <v>147225</v>
      </c>
      <c r="D31" s="21">
        <v>155835</v>
      </c>
      <c r="E31" s="23">
        <f t="shared" si="5"/>
        <v>-5.5250745981326406E-2</v>
      </c>
      <c r="F31" s="21">
        <f>+C31-71732</f>
        <v>75493</v>
      </c>
      <c r="G31" s="21">
        <f>+D31-75203</f>
        <v>80632</v>
      </c>
      <c r="H31" s="23">
        <f t="shared" si="6"/>
        <v>-6.3734001389026684E-2</v>
      </c>
      <c r="I31" s="24">
        <f t="shared" si="7"/>
        <v>53.346917167600608</v>
      </c>
      <c r="J31" s="24">
        <f t="shared" si="8"/>
        <v>104.03613421111891</v>
      </c>
      <c r="K31" s="21">
        <v>7853999.8799999999</v>
      </c>
      <c r="L31" s="21">
        <v>7610529.2599999998</v>
      </c>
      <c r="M31" s="25">
        <f t="shared" si="9"/>
        <v>3.1991286240715421E-2</v>
      </c>
      <c r="N31" s="10"/>
      <c r="R31" s="2"/>
    </row>
    <row r="32" spans="1:18" ht="15.75" x14ac:dyDescent="0.25">
      <c r="A32" s="19"/>
      <c r="B32" s="20">
        <f>DATE(2019,4,1)</f>
        <v>43556</v>
      </c>
      <c r="C32" s="21">
        <v>120109</v>
      </c>
      <c r="D32" s="21">
        <v>134366</v>
      </c>
      <c r="E32" s="23">
        <f t="shared" si="5"/>
        <v>-0.10610571126624295</v>
      </c>
      <c r="F32" s="21">
        <f>+C32-57579</f>
        <v>62530</v>
      </c>
      <c r="G32" s="21">
        <f>+D32-65307</f>
        <v>69059</v>
      </c>
      <c r="H32" s="23">
        <f t="shared" si="6"/>
        <v>-9.4542347847492728E-2</v>
      </c>
      <c r="I32" s="24">
        <f t="shared" si="7"/>
        <v>51.594920946806653</v>
      </c>
      <c r="J32" s="24">
        <f t="shared" si="8"/>
        <v>99.104659523428765</v>
      </c>
      <c r="K32" s="21">
        <v>6197014.3600000003</v>
      </c>
      <c r="L32" s="21">
        <v>6867961.0499999998</v>
      </c>
      <c r="M32" s="25">
        <f t="shared" si="9"/>
        <v>-9.7692267780114958E-2</v>
      </c>
      <c r="N32" s="10"/>
      <c r="R32" s="2"/>
    </row>
    <row r="33" spans="1:18" ht="15.75" x14ac:dyDescent="0.25">
      <c r="A33" s="19"/>
      <c r="B33" s="20">
        <f>DATE(2019,5,1)</f>
        <v>43586</v>
      </c>
      <c r="C33" s="21">
        <v>130620</v>
      </c>
      <c r="D33" s="21">
        <v>132093</v>
      </c>
      <c r="E33" s="23">
        <f t="shared" si="5"/>
        <v>-1.1151234357611683E-2</v>
      </c>
      <c r="F33" s="21">
        <f>+C33-62633</f>
        <v>67987</v>
      </c>
      <c r="G33" s="21">
        <f>+D33-61960</f>
        <v>70133</v>
      </c>
      <c r="H33" s="23">
        <f t="shared" si="6"/>
        <v>-3.0599004748121425E-2</v>
      </c>
      <c r="I33" s="24">
        <f t="shared" si="7"/>
        <v>52.581740545092636</v>
      </c>
      <c r="J33" s="24">
        <f t="shared" si="8"/>
        <v>101.02265065380146</v>
      </c>
      <c r="K33" s="21">
        <v>6868226.9500000002</v>
      </c>
      <c r="L33" s="21">
        <v>6653301.7400000002</v>
      </c>
      <c r="M33" s="25">
        <f t="shared" si="9"/>
        <v>3.2303541669823611E-2</v>
      </c>
      <c r="N33" s="10"/>
      <c r="R33" s="2"/>
    </row>
    <row r="34" spans="1:18" ht="15.75" customHeight="1" thickBot="1" x14ac:dyDescent="0.3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Top="1" thickBot="1" x14ac:dyDescent="0.3">
      <c r="A35" s="26" t="s">
        <v>14</v>
      </c>
      <c r="B35" s="27"/>
      <c r="C35" s="28">
        <f>SUM(C23:C34)</f>
        <v>1404806</v>
      </c>
      <c r="D35" s="28">
        <f>SUM(D23:D34)</f>
        <v>1524972</v>
      </c>
      <c r="E35" s="279">
        <f>(+C35-D35)/D35</f>
        <v>-7.8798823847257518E-2</v>
      </c>
      <c r="F35" s="28">
        <f>SUM(F23:F34)</f>
        <v>729668</v>
      </c>
      <c r="G35" s="28">
        <f>SUM(G23:G34)</f>
        <v>794419</v>
      </c>
      <c r="H35" s="30">
        <f>(+F35-G35)/G35</f>
        <v>-8.1507365760385891E-2</v>
      </c>
      <c r="I35" s="31">
        <f>K35/C35</f>
        <v>51.401622679572839</v>
      </c>
      <c r="J35" s="31">
        <f>K35/F35</f>
        <v>98.961867520571005</v>
      </c>
      <c r="K35" s="28">
        <f>SUM(K23:K34)</f>
        <v>72209307.950000003</v>
      </c>
      <c r="L35" s="28">
        <f>SUM(L23:L34)</f>
        <v>73627364.390000001</v>
      </c>
      <c r="M35" s="32">
        <f>(+K35-L35)/L35</f>
        <v>-1.9259910384522697E-2</v>
      </c>
      <c r="N35" s="10"/>
      <c r="R35" s="2"/>
    </row>
    <row r="36" spans="1:18" ht="15.75" customHeight="1" thickTop="1" x14ac:dyDescent="0.25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 x14ac:dyDescent="0.25">
      <c r="A37" s="19" t="s">
        <v>56</v>
      </c>
      <c r="B37" s="20">
        <f>DATE(2018,7,1)</f>
        <v>43282</v>
      </c>
      <c r="C37" s="21">
        <v>72910</v>
      </c>
      <c r="D37" s="21">
        <v>74865</v>
      </c>
      <c r="E37" s="23">
        <f t="shared" ref="E37:E47" si="10">(+C37-D37)/D37</f>
        <v>-2.6113671274961597E-2</v>
      </c>
      <c r="F37" s="21">
        <f>+C37-39365</f>
        <v>33545</v>
      </c>
      <c r="G37" s="21">
        <f>+D37-41129</f>
        <v>33736</v>
      </c>
      <c r="H37" s="23">
        <f t="shared" ref="H37:H47" si="11">(+F37-G37)/G37</f>
        <v>-5.6616077780412616E-3</v>
      </c>
      <c r="I37" s="24">
        <f t="shared" ref="I37:I47" si="12">K37/C37</f>
        <v>44.780741324921138</v>
      </c>
      <c r="J37" s="24">
        <f t="shared" ref="J37:J47" si="13">K37/F37</f>
        <v>97.33086451035922</v>
      </c>
      <c r="K37" s="21">
        <v>3264963.85</v>
      </c>
      <c r="L37" s="21">
        <v>3281831.24</v>
      </c>
      <c r="M37" s="25">
        <f t="shared" ref="M37:M47" si="14">(+K37-L37)/L37</f>
        <v>-5.1396274721305073E-3</v>
      </c>
      <c r="N37" s="10"/>
      <c r="R37" s="2"/>
    </row>
    <row r="38" spans="1:18" ht="15.75" customHeight="1" x14ac:dyDescent="0.25">
      <c r="A38" s="19"/>
      <c r="B38" s="20">
        <f>DATE(2018,8,1)</f>
        <v>43313</v>
      </c>
      <c r="C38" s="21">
        <v>70574</v>
      </c>
      <c r="D38" s="21">
        <v>67175</v>
      </c>
      <c r="E38" s="23">
        <f t="shared" si="10"/>
        <v>5.0599181243021957E-2</v>
      </c>
      <c r="F38" s="21">
        <f>+C38-38367</f>
        <v>32207</v>
      </c>
      <c r="G38" s="21">
        <f>+D38-36831</f>
        <v>30344</v>
      </c>
      <c r="H38" s="23">
        <f t="shared" si="11"/>
        <v>6.139599261798049E-2</v>
      </c>
      <c r="I38" s="24">
        <f t="shared" si="12"/>
        <v>44.274835775214662</v>
      </c>
      <c r="J38" s="24">
        <f t="shared" si="13"/>
        <v>97.017799236190882</v>
      </c>
      <c r="K38" s="21">
        <v>3124652.26</v>
      </c>
      <c r="L38" s="21">
        <v>2914048.09</v>
      </c>
      <c r="M38" s="25">
        <f t="shared" si="14"/>
        <v>7.2272029663038237E-2</v>
      </c>
      <c r="N38" s="10"/>
      <c r="R38" s="2"/>
    </row>
    <row r="39" spans="1:18" ht="15.75" customHeight="1" x14ac:dyDescent="0.25">
      <c r="A39" s="19"/>
      <c r="B39" s="20">
        <f>DATE(2018,9,1)</f>
        <v>43344</v>
      </c>
      <c r="C39" s="21">
        <v>68201</v>
      </c>
      <c r="D39" s="21">
        <v>69904</v>
      </c>
      <c r="E39" s="23">
        <f t="shared" si="10"/>
        <v>-2.4361982146944381E-2</v>
      </c>
      <c r="F39" s="21">
        <f>+C39-36459</f>
        <v>31742</v>
      </c>
      <c r="G39" s="21">
        <f>+D39-38362</f>
        <v>31542</v>
      </c>
      <c r="H39" s="23">
        <f t="shared" si="11"/>
        <v>6.3407520131887642E-3</v>
      </c>
      <c r="I39" s="24">
        <f t="shared" si="12"/>
        <v>45.847269688127739</v>
      </c>
      <c r="J39" s="24">
        <f t="shared" si="13"/>
        <v>98.507644130804621</v>
      </c>
      <c r="K39" s="21">
        <v>3126829.64</v>
      </c>
      <c r="L39" s="21">
        <v>3243425.56</v>
      </c>
      <c r="M39" s="25">
        <f t="shared" si="14"/>
        <v>-3.5948387852009135E-2</v>
      </c>
      <c r="N39" s="10"/>
      <c r="R39" s="2"/>
    </row>
    <row r="40" spans="1:18" ht="15.75" customHeight="1" x14ac:dyDescent="0.25">
      <c r="A40" s="19"/>
      <c r="B40" s="20">
        <f>DATE(2018,10,1)</f>
        <v>43374</v>
      </c>
      <c r="C40" s="21">
        <v>62804</v>
      </c>
      <c r="D40" s="21">
        <v>63657</v>
      </c>
      <c r="E40" s="23">
        <f t="shared" si="10"/>
        <v>-1.3399940305072498E-2</v>
      </c>
      <c r="F40" s="21">
        <f>+C40-33338</f>
        <v>29466</v>
      </c>
      <c r="G40" s="21">
        <f>+D40-34877</f>
        <v>28780</v>
      </c>
      <c r="H40" s="23">
        <f t="shared" si="11"/>
        <v>2.3835997220291869E-2</v>
      </c>
      <c r="I40" s="24">
        <f t="shared" si="12"/>
        <v>45.330389465639129</v>
      </c>
      <c r="J40" s="24">
        <f t="shared" si="13"/>
        <v>96.617449942306379</v>
      </c>
      <c r="K40" s="21">
        <v>2846929.78</v>
      </c>
      <c r="L40" s="21">
        <v>2893425.26</v>
      </c>
      <c r="M40" s="25">
        <f t="shared" si="14"/>
        <v>-1.6069355805651598E-2</v>
      </c>
      <c r="N40" s="10"/>
      <c r="R40" s="2"/>
    </row>
    <row r="41" spans="1:18" ht="15.75" customHeight="1" x14ac:dyDescent="0.25">
      <c r="A41" s="19"/>
      <c r="B41" s="20">
        <f>DATE(2018,11,1)</f>
        <v>43405</v>
      </c>
      <c r="C41" s="21">
        <v>61960</v>
      </c>
      <c r="D41" s="21">
        <v>63113</v>
      </c>
      <c r="E41" s="23">
        <f t="shared" si="10"/>
        <v>-1.8268819419137102E-2</v>
      </c>
      <c r="F41" s="21">
        <f>+C41-34125</f>
        <v>27835</v>
      </c>
      <c r="G41" s="21">
        <f>+D41-34636</f>
        <v>28477</v>
      </c>
      <c r="H41" s="23">
        <f t="shared" si="11"/>
        <v>-2.2544509604242018E-2</v>
      </c>
      <c r="I41" s="24">
        <f t="shared" si="12"/>
        <v>46.035749031633308</v>
      </c>
      <c r="J41" s="24">
        <f t="shared" si="13"/>
        <v>102.47440308963535</v>
      </c>
      <c r="K41" s="21">
        <v>2852375.01</v>
      </c>
      <c r="L41" s="21">
        <v>2842675.68</v>
      </c>
      <c r="M41" s="25">
        <f t="shared" si="14"/>
        <v>3.4120424177265301E-3</v>
      </c>
      <c r="N41" s="10"/>
      <c r="R41" s="2"/>
    </row>
    <row r="42" spans="1:18" ht="15.75" customHeight="1" x14ac:dyDescent="0.25">
      <c r="A42" s="19"/>
      <c r="B42" s="20">
        <f>DATE(2018,12,1)</f>
        <v>43435</v>
      </c>
      <c r="C42" s="21">
        <v>67802</v>
      </c>
      <c r="D42" s="21">
        <v>67232</v>
      </c>
      <c r="E42" s="23">
        <f t="shared" si="10"/>
        <v>8.4781056639695387E-3</v>
      </c>
      <c r="F42" s="21">
        <f>+C42-38252</f>
        <v>29550</v>
      </c>
      <c r="G42" s="21">
        <f>+D42-38046</f>
        <v>29186</v>
      </c>
      <c r="H42" s="23">
        <f t="shared" si="11"/>
        <v>1.2471733022682108E-2</v>
      </c>
      <c r="I42" s="24">
        <f t="shared" si="12"/>
        <v>47.906145098964636</v>
      </c>
      <c r="J42" s="24">
        <f t="shared" si="13"/>
        <v>109.91987986463621</v>
      </c>
      <c r="K42" s="21">
        <v>3248132.45</v>
      </c>
      <c r="L42" s="21">
        <v>3087701.75</v>
      </c>
      <c r="M42" s="25">
        <f t="shared" si="14"/>
        <v>5.1957965175878848E-2</v>
      </c>
      <c r="N42" s="10"/>
      <c r="R42" s="2"/>
    </row>
    <row r="43" spans="1:18" ht="15.75" customHeight="1" x14ac:dyDescent="0.25">
      <c r="A43" s="19"/>
      <c r="B43" s="20">
        <f>DATE(2019,1,1)</f>
        <v>43466</v>
      </c>
      <c r="C43" s="21">
        <v>58743</v>
      </c>
      <c r="D43" s="21">
        <v>54220</v>
      </c>
      <c r="E43" s="23">
        <f t="shared" si="10"/>
        <v>8.3419402434526002E-2</v>
      </c>
      <c r="F43" s="21">
        <f>+C43-31774</f>
        <v>26969</v>
      </c>
      <c r="G43" s="21">
        <f>+D43-30564</f>
        <v>23656</v>
      </c>
      <c r="H43" s="23">
        <f t="shared" si="11"/>
        <v>0.14004903618532297</v>
      </c>
      <c r="I43" s="24">
        <f t="shared" si="12"/>
        <v>47.158280135505507</v>
      </c>
      <c r="J43" s="24">
        <f t="shared" si="13"/>
        <v>102.71863435796656</v>
      </c>
      <c r="K43" s="21">
        <v>2770218.85</v>
      </c>
      <c r="L43" s="21">
        <v>2486445.4500000002</v>
      </c>
      <c r="M43" s="25">
        <f t="shared" si="14"/>
        <v>0.1141281422441823</v>
      </c>
      <c r="N43" s="10"/>
      <c r="R43" s="2"/>
    </row>
    <row r="44" spans="1:18" ht="15.75" customHeight="1" x14ac:dyDescent="0.25">
      <c r="A44" s="19"/>
      <c r="B44" s="20">
        <f>DATE(2019,2,1)</f>
        <v>43497</v>
      </c>
      <c r="C44" s="21">
        <v>62348</v>
      </c>
      <c r="D44" s="21">
        <v>65508</v>
      </c>
      <c r="E44" s="23">
        <f t="shared" si="10"/>
        <v>-4.8238383098247545E-2</v>
      </c>
      <c r="F44" s="21">
        <f>+C44-34888</f>
        <v>27460</v>
      </c>
      <c r="G44" s="21">
        <f>+D44-36512</f>
        <v>28996</v>
      </c>
      <c r="H44" s="23">
        <f t="shared" si="11"/>
        <v>-5.297282383777073E-2</v>
      </c>
      <c r="I44" s="24">
        <f t="shared" si="12"/>
        <v>46.607038557772505</v>
      </c>
      <c r="J44" s="24">
        <f t="shared" si="13"/>
        <v>105.82139985433358</v>
      </c>
      <c r="K44" s="21">
        <v>2905855.64</v>
      </c>
      <c r="L44" s="21">
        <v>3058842.68</v>
      </c>
      <c r="M44" s="25">
        <f t="shared" si="14"/>
        <v>-5.0014680715779747E-2</v>
      </c>
      <c r="N44" s="10"/>
      <c r="R44" s="2"/>
    </row>
    <row r="45" spans="1:18" ht="15.75" customHeight="1" x14ac:dyDescent="0.25">
      <c r="A45" s="19"/>
      <c r="B45" s="20">
        <f>DATE(2019,3,1)</f>
        <v>43525</v>
      </c>
      <c r="C45" s="21">
        <v>74820</v>
      </c>
      <c r="D45" s="21">
        <v>81477</v>
      </c>
      <c r="E45" s="23">
        <f t="shared" si="10"/>
        <v>-8.1704039176700174E-2</v>
      </c>
      <c r="F45" s="21">
        <f>+C45-42126</f>
        <v>32694</v>
      </c>
      <c r="G45" s="21">
        <f>+D45-46044</f>
        <v>35433</v>
      </c>
      <c r="H45" s="23">
        <f t="shared" si="11"/>
        <v>-7.73008212683092E-2</v>
      </c>
      <c r="I45" s="24">
        <f t="shared" si="12"/>
        <v>51.292918070034752</v>
      </c>
      <c r="J45" s="24">
        <f t="shared" si="13"/>
        <v>117.3834994188536</v>
      </c>
      <c r="K45" s="21">
        <v>3837736.13</v>
      </c>
      <c r="L45" s="21">
        <v>3874172.71</v>
      </c>
      <c r="M45" s="25">
        <f t="shared" si="14"/>
        <v>-9.4049962991970167E-3</v>
      </c>
      <c r="N45" s="10"/>
      <c r="R45" s="2"/>
    </row>
    <row r="46" spans="1:18" ht="15.75" customHeight="1" x14ac:dyDescent="0.25">
      <c r="A46" s="19"/>
      <c r="B46" s="20">
        <f>DATE(2019,4,1)</f>
        <v>43556</v>
      </c>
      <c r="C46" s="21">
        <v>63109</v>
      </c>
      <c r="D46" s="21">
        <v>68061</v>
      </c>
      <c r="E46" s="23">
        <f t="shared" si="10"/>
        <v>-7.2758260971775318E-2</v>
      </c>
      <c r="F46" s="21">
        <f>+C46-34337</f>
        <v>28772</v>
      </c>
      <c r="G46" s="21">
        <f>+D46-38034</f>
        <v>30027</v>
      </c>
      <c r="H46" s="23">
        <f t="shared" si="11"/>
        <v>-4.1795717187864255E-2</v>
      </c>
      <c r="I46" s="24">
        <f t="shared" si="12"/>
        <v>49.462078308957516</v>
      </c>
      <c r="J46" s="24">
        <f t="shared" si="13"/>
        <v>108.49097386347837</v>
      </c>
      <c r="K46" s="21">
        <v>3121502.3</v>
      </c>
      <c r="L46" s="21">
        <v>3172303.22</v>
      </c>
      <c r="M46" s="25">
        <f t="shared" si="14"/>
        <v>-1.6013891635491384E-2</v>
      </c>
      <c r="N46" s="10"/>
      <c r="R46" s="2"/>
    </row>
    <row r="47" spans="1:18" ht="15.75" customHeight="1" x14ac:dyDescent="0.25">
      <c r="A47" s="19"/>
      <c r="B47" s="20">
        <f>DATE(2019,5,1)</f>
        <v>43586</v>
      </c>
      <c r="C47" s="21">
        <v>68333</v>
      </c>
      <c r="D47" s="21">
        <v>66559</v>
      </c>
      <c r="E47" s="23">
        <f t="shared" si="10"/>
        <v>2.6653044667137426E-2</v>
      </c>
      <c r="F47" s="21">
        <f>+C47-36451</f>
        <v>31882</v>
      </c>
      <c r="G47" s="21">
        <f>+D47-36386</f>
        <v>30173</v>
      </c>
      <c r="H47" s="23">
        <f t="shared" si="11"/>
        <v>5.6640042422032945E-2</v>
      </c>
      <c r="I47" s="24">
        <f t="shared" si="12"/>
        <v>47.376672910599567</v>
      </c>
      <c r="J47" s="24">
        <f t="shared" si="13"/>
        <v>101.54288281789097</v>
      </c>
      <c r="K47" s="21">
        <v>3237390.19</v>
      </c>
      <c r="L47" s="21">
        <v>3220348.7</v>
      </c>
      <c r="M47" s="25">
        <f t="shared" si="14"/>
        <v>5.2918151379071953E-3</v>
      </c>
      <c r="N47" s="10"/>
      <c r="R47" s="2"/>
    </row>
    <row r="48" spans="1:18" ht="15.75" customHeight="1" thickBot="1" x14ac:dyDescent="0.25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Top="1" thickBot="1" x14ac:dyDescent="0.3">
      <c r="A49" s="39" t="s">
        <v>14</v>
      </c>
      <c r="B49" s="40"/>
      <c r="C49" s="41">
        <f>SUM(C37:C48)</f>
        <v>731604</v>
      </c>
      <c r="D49" s="41">
        <f>SUM(D37:D48)</f>
        <v>741771</v>
      </c>
      <c r="E49" s="280">
        <f>(+C49-D49)/D49</f>
        <v>-1.3706386472374897E-2</v>
      </c>
      <c r="F49" s="41">
        <f>SUM(F37:F48)</f>
        <v>332122</v>
      </c>
      <c r="G49" s="41">
        <f>SUM(G37:G48)</f>
        <v>330350</v>
      </c>
      <c r="H49" s="42">
        <f>(+F49-G49)/G49</f>
        <v>5.3640078704404416E-3</v>
      </c>
      <c r="I49" s="43">
        <f>K49/C49</f>
        <v>46.933294651204754</v>
      </c>
      <c r="J49" s="43">
        <f>K49/F49</f>
        <v>103.38546106551208</v>
      </c>
      <c r="K49" s="41">
        <f>SUM(K37:K48)</f>
        <v>34336586.100000001</v>
      </c>
      <c r="L49" s="41">
        <f>SUM(L37:L48)</f>
        <v>34075220.339999996</v>
      </c>
      <c r="M49" s="44">
        <f>(+K49-L49)/L49</f>
        <v>7.6702588388898848E-3</v>
      </c>
      <c r="N49" s="10"/>
      <c r="R49" s="2"/>
    </row>
    <row r="50" spans="1:18" ht="15.75" customHeight="1" thickTop="1" x14ac:dyDescent="0.2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77" t="s">
        <v>65</v>
      </c>
      <c r="B51" s="20">
        <f>DATE(2018,7,1)</f>
        <v>43282</v>
      </c>
      <c r="C51" s="21">
        <v>465892</v>
      </c>
      <c r="D51" s="21">
        <v>502707</v>
      </c>
      <c r="E51" s="23">
        <f t="shared" ref="E51:E61" si="15">(+C51-D51)/D51</f>
        <v>-7.3233513756522192E-2</v>
      </c>
      <c r="F51" s="21">
        <f>+C51-233751</f>
        <v>232141</v>
      </c>
      <c r="G51" s="21">
        <f>+D51-258518</f>
        <v>244189</v>
      </c>
      <c r="H51" s="23">
        <f t="shared" ref="H51:H61" si="16">(+F51-G51)/G51</f>
        <v>-4.9338831806510532E-2</v>
      </c>
      <c r="I51" s="24">
        <f t="shared" ref="I51:I61" si="17">K51/C51</f>
        <v>43.314960162441082</v>
      </c>
      <c r="J51" s="24">
        <f t="shared" ref="J51:J61" si="18">K51/F51</f>
        <v>86.930328636475252</v>
      </c>
      <c r="K51" s="21">
        <v>20180093.420000002</v>
      </c>
      <c r="L51" s="21">
        <v>21241004.789999999</v>
      </c>
      <c r="M51" s="25">
        <f t="shared" ref="M51:M61" si="19">(+K51-L51)/L51</f>
        <v>-4.9946383445074183E-2</v>
      </c>
      <c r="N51" s="10"/>
      <c r="R51" s="2"/>
    </row>
    <row r="52" spans="1:18" ht="15.75" customHeight="1" x14ac:dyDescent="0.25">
      <c r="A52" s="177"/>
      <c r="B52" s="20">
        <f>DATE(2018,8,1)</f>
        <v>43313</v>
      </c>
      <c r="C52" s="21">
        <v>454572</v>
      </c>
      <c r="D52" s="21">
        <v>453491</v>
      </c>
      <c r="E52" s="23">
        <f t="shared" si="15"/>
        <v>2.3837297763351422E-3</v>
      </c>
      <c r="F52" s="21">
        <f>+C52-227733</f>
        <v>226839</v>
      </c>
      <c r="G52" s="21">
        <f>+D52-231314</f>
        <v>222177</v>
      </c>
      <c r="H52" s="23">
        <f t="shared" si="16"/>
        <v>2.0983270095464426E-2</v>
      </c>
      <c r="I52" s="24">
        <f t="shared" si="17"/>
        <v>44.900259452847948</v>
      </c>
      <c r="J52" s="24">
        <f t="shared" si="18"/>
        <v>89.977476271716938</v>
      </c>
      <c r="K52" s="21">
        <v>20410400.739999998</v>
      </c>
      <c r="L52" s="21">
        <v>19752724.440000001</v>
      </c>
      <c r="M52" s="25">
        <f t="shared" si="19"/>
        <v>3.329547283453102E-2</v>
      </c>
      <c r="N52" s="10"/>
      <c r="R52" s="2"/>
    </row>
    <row r="53" spans="1:18" ht="15.75" customHeight="1" x14ac:dyDescent="0.25">
      <c r="A53" s="177"/>
      <c r="B53" s="20">
        <f>DATE(2018,9,1)</f>
        <v>43344</v>
      </c>
      <c r="C53" s="21">
        <v>400695</v>
      </c>
      <c r="D53" s="21">
        <v>440378</v>
      </c>
      <c r="E53" s="23">
        <f t="shared" si="15"/>
        <v>-9.0111222631466606E-2</v>
      </c>
      <c r="F53" s="21">
        <f>+C53-202275</f>
        <v>198420</v>
      </c>
      <c r="G53" s="21">
        <f>+D53-224768</f>
        <v>215610</v>
      </c>
      <c r="H53" s="23">
        <f t="shared" si="16"/>
        <v>-7.972728537637401E-2</v>
      </c>
      <c r="I53" s="24">
        <f t="shared" si="17"/>
        <v>48.476679269768773</v>
      </c>
      <c r="J53" s="24">
        <f t="shared" si="18"/>
        <v>97.895186977119238</v>
      </c>
      <c r="K53" s="21">
        <v>19424363</v>
      </c>
      <c r="L53" s="21">
        <v>19993375.760000002</v>
      </c>
      <c r="M53" s="25">
        <f t="shared" si="19"/>
        <v>-2.8460064314821919E-2</v>
      </c>
      <c r="N53" s="10"/>
      <c r="R53" s="2"/>
    </row>
    <row r="54" spans="1:18" ht="15.75" customHeight="1" x14ac:dyDescent="0.25">
      <c r="A54" s="177"/>
      <c r="B54" s="20">
        <f>DATE(2018,10,1)</f>
        <v>43374</v>
      </c>
      <c r="C54" s="21">
        <v>385385</v>
      </c>
      <c r="D54" s="21">
        <v>419713</v>
      </c>
      <c r="E54" s="23">
        <f t="shared" si="15"/>
        <v>-8.1789222635467576E-2</v>
      </c>
      <c r="F54" s="21">
        <f>+C54-195549</f>
        <v>189836</v>
      </c>
      <c r="G54" s="21">
        <f>+D54-218072</f>
        <v>201641</v>
      </c>
      <c r="H54" s="23">
        <f t="shared" si="16"/>
        <v>-5.8544641218799751E-2</v>
      </c>
      <c r="I54" s="24">
        <f t="shared" si="17"/>
        <v>47.103471385757103</v>
      </c>
      <c r="J54" s="24">
        <f t="shared" si="18"/>
        <v>95.624493352156605</v>
      </c>
      <c r="K54" s="21">
        <v>18152971.32</v>
      </c>
      <c r="L54" s="21">
        <v>18150595.489999998</v>
      </c>
      <c r="M54" s="25">
        <f t="shared" si="19"/>
        <v>1.3089542992189383E-4</v>
      </c>
      <c r="N54" s="10"/>
      <c r="R54" s="2"/>
    </row>
    <row r="55" spans="1:18" ht="15.75" customHeight="1" x14ac:dyDescent="0.25">
      <c r="A55" s="177"/>
      <c r="B55" s="20">
        <f>DATE(2018,11,1)</f>
        <v>43405</v>
      </c>
      <c r="C55" s="21">
        <v>374346</v>
      </c>
      <c r="D55" s="21">
        <v>408603</v>
      </c>
      <c r="E55" s="23">
        <f t="shared" si="15"/>
        <v>-8.3839325702454462E-2</v>
      </c>
      <c r="F55" s="21">
        <f>+C55-191013</f>
        <v>183333</v>
      </c>
      <c r="G55" s="21">
        <f>+D55-210845</f>
        <v>197758</v>
      </c>
      <c r="H55" s="23">
        <f t="shared" si="16"/>
        <v>-7.2942687527179681E-2</v>
      </c>
      <c r="I55" s="24">
        <f t="shared" si="17"/>
        <v>47.420801557917002</v>
      </c>
      <c r="J55" s="24">
        <f t="shared" si="18"/>
        <v>96.828107214740385</v>
      </c>
      <c r="K55" s="21">
        <v>17751787.379999999</v>
      </c>
      <c r="L55" s="21">
        <v>18468735.18</v>
      </c>
      <c r="M55" s="25">
        <f t="shared" si="19"/>
        <v>-3.8819539779659171E-2</v>
      </c>
      <c r="N55" s="10"/>
      <c r="R55" s="2"/>
    </row>
    <row r="56" spans="1:18" ht="15.75" customHeight="1" x14ac:dyDescent="0.25">
      <c r="A56" s="177"/>
      <c r="B56" s="20">
        <f>DATE(2018,12,1)</f>
        <v>43435</v>
      </c>
      <c r="C56" s="21">
        <v>412048</v>
      </c>
      <c r="D56" s="21">
        <v>449629</v>
      </c>
      <c r="E56" s="23">
        <f t="shared" si="15"/>
        <v>-8.3582242248609412E-2</v>
      </c>
      <c r="F56" s="21">
        <f>+C56-211961</f>
        <v>200087</v>
      </c>
      <c r="G56" s="21">
        <f>+D56-233187</f>
        <v>216442</v>
      </c>
      <c r="H56" s="23">
        <f t="shared" si="16"/>
        <v>-7.5562968370279329E-2</v>
      </c>
      <c r="I56" s="24">
        <f t="shared" si="17"/>
        <v>46.91464098842853</v>
      </c>
      <c r="J56" s="24">
        <f t="shared" si="18"/>
        <v>96.613393123991059</v>
      </c>
      <c r="K56" s="21">
        <v>19331083.989999998</v>
      </c>
      <c r="L56" s="21">
        <v>20150034.73</v>
      </c>
      <c r="M56" s="25">
        <f t="shared" si="19"/>
        <v>-4.0642646574733821E-2</v>
      </c>
      <c r="N56" s="10"/>
      <c r="R56" s="2"/>
    </row>
    <row r="57" spans="1:18" ht="15.75" customHeight="1" x14ac:dyDescent="0.25">
      <c r="A57" s="177"/>
      <c r="B57" s="20">
        <f>DATE(2019,1,1)</f>
        <v>43466</v>
      </c>
      <c r="C57" s="21">
        <v>344029</v>
      </c>
      <c r="D57" s="21">
        <v>391423</v>
      </c>
      <c r="E57" s="23">
        <f t="shared" si="15"/>
        <v>-0.12108128546355222</v>
      </c>
      <c r="F57" s="21">
        <f>+C57-177399</f>
        <v>166630</v>
      </c>
      <c r="G57" s="21">
        <f>+D57-204825</f>
        <v>186598</v>
      </c>
      <c r="H57" s="23">
        <f t="shared" si="16"/>
        <v>-0.10701079325609063</v>
      </c>
      <c r="I57" s="24">
        <f t="shared" si="17"/>
        <v>47.706946565551156</v>
      </c>
      <c r="J57" s="24">
        <f t="shared" si="18"/>
        <v>98.497108083778429</v>
      </c>
      <c r="K57" s="21">
        <v>16412573.119999999</v>
      </c>
      <c r="L57" s="21">
        <v>17738011.18</v>
      </c>
      <c r="M57" s="25">
        <f t="shared" si="19"/>
        <v>-7.4723036678117624E-2</v>
      </c>
      <c r="N57" s="10"/>
      <c r="R57" s="2"/>
    </row>
    <row r="58" spans="1:18" ht="15.75" customHeight="1" x14ac:dyDescent="0.25">
      <c r="A58" s="177"/>
      <c r="B58" s="20">
        <f>DATE(2019,2,1)</f>
        <v>43497</v>
      </c>
      <c r="C58" s="21">
        <v>384321</v>
      </c>
      <c r="D58" s="21">
        <v>413419</v>
      </c>
      <c r="E58" s="23">
        <f t="shared" si="15"/>
        <v>-7.0383799486719287E-2</v>
      </c>
      <c r="F58" s="21">
        <f>+C58-196867</f>
        <v>187454</v>
      </c>
      <c r="G58" s="21">
        <f>+D58-213480</f>
        <v>199939</v>
      </c>
      <c r="H58" s="23">
        <f t="shared" si="16"/>
        <v>-6.2444045433857329E-2</v>
      </c>
      <c r="I58" s="24">
        <f t="shared" si="17"/>
        <v>48.37954376679911</v>
      </c>
      <c r="J58" s="24">
        <f t="shared" si="18"/>
        <v>99.188465650239522</v>
      </c>
      <c r="K58" s="21">
        <v>18593274.640000001</v>
      </c>
      <c r="L58" s="21">
        <v>18792291.010000002</v>
      </c>
      <c r="M58" s="25">
        <f t="shared" si="19"/>
        <v>-1.0590319716425094E-2</v>
      </c>
      <c r="N58" s="10"/>
      <c r="R58" s="2"/>
    </row>
    <row r="59" spans="1:18" ht="15.75" customHeight="1" x14ac:dyDescent="0.25">
      <c r="A59" s="177"/>
      <c r="B59" s="20">
        <f>DATE(2019,3,1)</f>
        <v>43525</v>
      </c>
      <c r="C59" s="21">
        <v>466183</v>
      </c>
      <c r="D59" s="21">
        <v>490262</v>
      </c>
      <c r="E59" s="23">
        <f t="shared" si="15"/>
        <v>-4.911455507463356E-2</v>
      </c>
      <c r="F59" s="21">
        <f>+C59-241983</f>
        <v>224200</v>
      </c>
      <c r="G59" s="21">
        <f>+D59-252614</f>
        <v>237648</v>
      </c>
      <c r="H59" s="23">
        <f t="shared" si="16"/>
        <v>-5.6587894701407127E-2</v>
      </c>
      <c r="I59" s="24">
        <f t="shared" si="17"/>
        <v>49.300690780230077</v>
      </c>
      <c r="J59" s="24">
        <f t="shared" si="18"/>
        <v>102.51179272970562</v>
      </c>
      <c r="K59" s="21">
        <v>22983143.93</v>
      </c>
      <c r="L59" s="21">
        <v>22111387.34</v>
      </c>
      <c r="M59" s="25">
        <f t="shared" si="19"/>
        <v>3.9425684901416042E-2</v>
      </c>
      <c r="N59" s="10"/>
      <c r="R59" s="2"/>
    </row>
    <row r="60" spans="1:18" ht="15.75" customHeight="1" x14ac:dyDescent="0.25">
      <c r="A60" s="177"/>
      <c r="B60" s="20">
        <f>DATE(2019,4,1)</f>
        <v>43556</v>
      </c>
      <c r="C60" s="21">
        <v>375553</v>
      </c>
      <c r="D60" s="21">
        <v>432206</v>
      </c>
      <c r="E60" s="23">
        <f t="shared" si="15"/>
        <v>-0.13107869858354582</v>
      </c>
      <c r="F60" s="21">
        <f>+C60-190026</f>
        <v>185527</v>
      </c>
      <c r="G60" s="21">
        <f>+D60-222217</f>
        <v>209989</v>
      </c>
      <c r="H60" s="23">
        <f t="shared" si="16"/>
        <v>-0.11649181623799341</v>
      </c>
      <c r="I60" s="24">
        <f t="shared" si="17"/>
        <v>50.086547810828293</v>
      </c>
      <c r="J60" s="24">
        <f t="shared" si="18"/>
        <v>101.38768637448996</v>
      </c>
      <c r="K60" s="21">
        <v>18810153.289999999</v>
      </c>
      <c r="L60" s="21">
        <v>20660651.280000001</v>
      </c>
      <c r="M60" s="25">
        <f t="shared" si="19"/>
        <v>-8.9566295124071327E-2</v>
      </c>
      <c r="N60" s="10"/>
      <c r="R60" s="2"/>
    </row>
    <row r="61" spans="1:18" ht="15.75" customHeight="1" x14ac:dyDescent="0.25">
      <c r="A61" s="177"/>
      <c r="B61" s="20">
        <f>DATE(2019,5,1)</f>
        <v>43586</v>
      </c>
      <c r="C61" s="21">
        <v>427877</v>
      </c>
      <c r="D61" s="21">
        <v>448369</v>
      </c>
      <c r="E61" s="23">
        <f t="shared" si="15"/>
        <v>-4.5703427310987157E-2</v>
      </c>
      <c r="F61" s="21">
        <f>+C61-215501</f>
        <v>212376</v>
      </c>
      <c r="G61" s="21">
        <f>+D61-226014</f>
        <v>222355</v>
      </c>
      <c r="H61" s="23">
        <f t="shared" si="16"/>
        <v>-4.4878684985721035E-2</v>
      </c>
      <c r="I61" s="24">
        <f t="shared" si="17"/>
        <v>48.764381142244147</v>
      </c>
      <c r="J61" s="24">
        <f t="shared" si="18"/>
        <v>98.246304243417327</v>
      </c>
      <c r="K61" s="21">
        <v>20865157.109999999</v>
      </c>
      <c r="L61" s="21">
        <v>19701549.010000002</v>
      </c>
      <c r="M61" s="25">
        <f t="shared" si="19"/>
        <v>5.9061756992274062E-2</v>
      </c>
      <c r="N61" s="10"/>
      <c r="R61" s="2"/>
    </row>
    <row r="62" spans="1:18" ht="15.75" thickBot="1" x14ac:dyDescent="0.25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SUM(C51:C62)</f>
        <v>4490901</v>
      </c>
      <c r="D63" s="41">
        <f>SUM(D51:D62)</f>
        <v>4850200</v>
      </c>
      <c r="E63" s="280">
        <f>(+C63-D63)/D63</f>
        <v>-7.4079213228320479E-2</v>
      </c>
      <c r="F63" s="41">
        <f>SUM(F51:F62)</f>
        <v>2206843</v>
      </c>
      <c r="G63" s="41">
        <f>SUM(G51:G62)</f>
        <v>2354346</v>
      </c>
      <c r="H63" s="42">
        <f>(+F63-G63)/G63</f>
        <v>-6.2651369000138471E-2</v>
      </c>
      <c r="I63" s="43">
        <f>K63/C63</f>
        <v>47.410308519381744</v>
      </c>
      <c r="J63" s="43">
        <f>K63/F63</f>
        <v>96.479451388250098</v>
      </c>
      <c r="K63" s="41">
        <f>SUM(K51:K62)</f>
        <v>212915001.94</v>
      </c>
      <c r="L63" s="41">
        <f>SUM(L51:L62)</f>
        <v>216760360.20999998</v>
      </c>
      <c r="M63" s="44">
        <f>(+K63-L63)/L63</f>
        <v>-1.7740136002147962E-2</v>
      </c>
      <c r="N63" s="10"/>
      <c r="R63" s="2"/>
    </row>
    <row r="64" spans="1:18" ht="15.75" thickTop="1" x14ac:dyDescent="0.2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x14ac:dyDescent="0.25">
      <c r="A65" s="19" t="s">
        <v>16</v>
      </c>
      <c r="B65" s="20">
        <f>DATE(2018,7,1)</f>
        <v>43282</v>
      </c>
      <c r="C65" s="21">
        <v>289167</v>
      </c>
      <c r="D65" s="21">
        <v>332127</v>
      </c>
      <c r="E65" s="23">
        <f t="shared" ref="E65:E75" si="20">(+C65-D65)/D65</f>
        <v>-0.12934811081303235</v>
      </c>
      <c r="F65" s="21">
        <f>+C65-134357</f>
        <v>154810</v>
      </c>
      <c r="G65" s="21">
        <f>+D65-153372</f>
        <v>178755</v>
      </c>
      <c r="H65" s="23">
        <f t="shared" ref="H65:H75" si="21">(+F65-G65)/G65</f>
        <v>-0.13395429498475567</v>
      </c>
      <c r="I65" s="24">
        <f t="shared" ref="I65:I75" si="22">K65/C65</f>
        <v>51.510231907513656</v>
      </c>
      <c r="J65" s="24">
        <f t="shared" ref="J65:J75" si="23">K65/F65</f>
        <v>96.21509740972806</v>
      </c>
      <c r="K65" s="21">
        <v>14895059.23</v>
      </c>
      <c r="L65" s="21">
        <v>16977556.68</v>
      </c>
      <c r="M65" s="25">
        <f t="shared" ref="M65:M75" si="24">(+K65-L65)/L65</f>
        <v>-0.12266178751464485</v>
      </c>
      <c r="N65" s="10"/>
      <c r="R65" s="2"/>
    </row>
    <row r="66" spans="1:18" ht="15.75" x14ac:dyDescent="0.25">
      <c r="A66" s="19"/>
      <c r="B66" s="20">
        <f>DATE(2018,8,1)</f>
        <v>43313</v>
      </c>
      <c r="C66" s="21">
        <v>292132</v>
      </c>
      <c r="D66" s="21">
        <v>318460</v>
      </c>
      <c r="E66" s="23">
        <f t="shared" si="20"/>
        <v>-8.2672863153928286E-2</v>
      </c>
      <c r="F66" s="21">
        <f>+C66-136807</f>
        <v>155325</v>
      </c>
      <c r="G66" s="21">
        <f>+D66-146549</f>
        <v>171911</v>
      </c>
      <c r="H66" s="23">
        <f t="shared" si="21"/>
        <v>-9.6480155429262818E-2</v>
      </c>
      <c r="I66" s="24">
        <f t="shared" si="22"/>
        <v>49.941217497569589</v>
      </c>
      <c r="J66" s="24">
        <f t="shared" si="23"/>
        <v>93.928393690648633</v>
      </c>
      <c r="K66" s="21">
        <v>14589427.75</v>
      </c>
      <c r="L66" s="21">
        <v>15578003.460000001</v>
      </c>
      <c r="M66" s="25">
        <f t="shared" si="24"/>
        <v>-6.3459718219885469E-2</v>
      </c>
      <c r="N66" s="10"/>
      <c r="R66" s="2"/>
    </row>
    <row r="67" spans="1:18" ht="15.75" x14ac:dyDescent="0.25">
      <c r="A67" s="19"/>
      <c r="B67" s="20">
        <f>DATE(2018,9,1)</f>
        <v>43344</v>
      </c>
      <c r="C67" s="21">
        <v>292955</v>
      </c>
      <c r="D67" s="21">
        <v>319116</v>
      </c>
      <c r="E67" s="23">
        <f t="shared" si="20"/>
        <v>-8.197959362739568E-2</v>
      </c>
      <c r="F67" s="21">
        <f>+C67-135433</f>
        <v>157522</v>
      </c>
      <c r="G67" s="21">
        <f>+D67-146330</f>
        <v>172786</v>
      </c>
      <c r="H67" s="23">
        <f t="shared" si="21"/>
        <v>-8.8340490549002809E-2</v>
      </c>
      <c r="I67" s="24">
        <f t="shared" si="22"/>
        <v>51.9962153231725</v>
      </c>
      <c r="J67" s="24">
        <f t="shared" si="23"/>
        <v>96.701103718845616</v>
      </c>
      <c r="K67" s="21">
        <v>15232551.26</v>
      </c>
      <c r="L67" s="21">
        <v>15578279.970000001</v>
      </c>
      <c r="M67" s="25">
        <f t="shared" si="24"/>
        <v>-2.219299631703826E-2</v>
      </c>
      <c r="N67" s="10"/>
      <c r="R67" s="2"/>
    </row>
    <row r="68" spans="1:18" ht="15.75" x14ac:dyDescent="0.25">
      <c r="A68" s="19"/>
      <c r="B68" s="20">
        <f>DATE(2018,10,1)</f>
        <v>43374</v>
      </c>
      <c r="C68" s="21">
        <v>283107</v>
      </c>
      <c r="D68" s="21">
        <v>307325</v>
      </c>
      <c r="E68" s="23">
        <f t="shared" si="20"/>
        <v>-7.8802570568616281E-2</v>
      </c>
      <c r="F68" s="21">
        <f>+C68-129714</f>
        <v>153393</v>
      </c>
      <c r="G68" s="21">
        <f>+D68-144149</f>
        <v>163176</v>
      </c>
      <c r="H68" s="23">
        <f t="shared" si="21"/>
        <v>-5.9953669657302547E-2</v>
      </c>
      <c r="I68" s="24">
        <f t="shared" si="22"/>
        <v>51.856895484746047</v>
      </c>
      <c r="J68" s="24">
        <f t="shared" si="23"/>
        <v>95.708735796287968</v>
      </c>
      <c r="K68" s="21">
        <v>14681050.109999999</v>
      </c>
      <c r="L68" s="21">
        <v>14357514.98</v>
      </c>
      <c r="M68" s="25">
        <f t="shared" si="24"/>
        <v>2.2534201110058598E-2</v>
      </c>
      <c r="N68" s="10"/>
      <c r="R68" s="2"/>
    </row>
    <row r="69" spans="1:18" ht="15.75" x14ac:dyDescent="0.25">
      <c r="A69" s="19"/>
      <c r="B69" s="20">
        <f>DATE(2018,11,1)</f>
        <v>43405</v>
      </c>
      <c r="C69" s="21">
        <v>270987</v>
      </c>
      <c r="D69" s="21">
        <v>280587</v>
      </c>
      <c r="E69" s="23">
        <f t="shared" si="20"/>
        <v>-3.421398710560361E-2</v>
      </c>
      <c r="F69" s="21">
        <f>+C69-127087</f>
        <v>143900</v>
      </c>
      <c r="G69" s="21">
        <f>+D69-134796</f>
        <v>145791</v>
      </c>
      <c r="H69" s="23">
        <f t="shared" si="21"/>
        <v>-1.2970622329224713E-2</v>
      </c>
      <c r="I69" s="24">
        <f t="shared" si="22"/>
        <v>50.922366091362321</v>
      </c>
      <c r="J69" s="24">
        <f t="shared" si="23"/>
        <v>95.895060597637254</v>
      </c>
      <c r="K69" s="21">
        <v>13799299.220000001</v>
      </c>
      <c r="L69" s="21">
        <v>14099125.18</v>
      </c>
      <c r="M69" s="25">
        <f t="shared" si="24"/>
        <v>-2.1265571882808053E-2</v>
      </c>
      <c r="N69" s="10"/>
      <c r="R69" s="2"/>
    </row>
    <row r="70" spans="1:18" ht="15.75" x14ac:dyDescent="0.25">
      <c r="A70" s="19"/>
      <c r="B70" s="20">
        <f>DATE(2018,12,1)</f>
        <v>43435</v>
      </c>
      <c r="C70" s="21">
        <v>307184</v>
      </c>
      <c r="D70" s="21">
        <v>306888</v>
      </c>
      <c r="E70" s="23">
        <f t="shared" si="20"/>
        <v>9.6452125856990169E-4</v>
      </c>
      <c r="F70" s="21">
        <f>+C70-142869</f>
        <v>164315</v>
      </c>
      <c r="G70" s="21">
        <f>+D70-144117</f>
        <v>162771</v>
      </c>
      <c r="H70" s="23">
        <f t="shared" si="21"/>
        <v>9.4857192005947007E-3</v>
      </c>
      <c r="I70" s="24">
        <f t="shared" si="22"/>
        <v>50.741745435960205</v>
      </c>
      <c r="J70" s="24">
        <f t="shared" si="23"/>
        <v>94.860799866110824</v>
      </c>
      <c r="K70" s="21">
        <v>15587052.33</v>
      </c>
      <c r="L70" s="21">
        <v>14839139.050000001</v>
      </c>
      <c r="M70" s="25">
        <f t="shared" si="24"/>
        <v>5.0401393064646784E-2</v>
      </c>
      <c r="N70" s="10"/>
      <c r="R70" s="2"/>
    </row>
    <row r="71" spans="1:18" ht="15.75" x14ac:dyDescent="0.25">
      <c r="A71" s="19"/>
      <c r="B71" s="20">
        <f>DATE(2019,1,1)</f>
        <v>43466</v>
      </c>
      <c r="C71" s="21">
        <v>270469</v>
      </c>
      <c r="D71" s="21">
        <v>266667</v>
      </c>
      <c r="E71" s="23">
        <f t="shared" si="20"/>
        <v>1.4257482178147277E-2</v>
      </c>
      <c r="F71" s="21">
        <f>+C71-125284</f>
        <v>145185</v>
      </c>
      <c r="G71" s="21">
        <f>+D71-126251</f>
        <v>140416</v>
      </c>
      <c r="H71" s="23">
        <f t="shared" si="21"/>
        <v>3.3963365998176849E-2</v>
      </c>
      <c r="I71" s="24">
        <f t="shared" si="22"/>
        <v>46.274182216815973</v>
      </c>
      <c r="J71" s="24">
        <f t="shared" si="23"/>
        <v>86.205405448221228</v>
      </c>
      <c r="K71" s="21">
        <v>12515731.789999999</v>
      </c>
      <c r="L71" s="21">
        <v>12464689.92</v>
      </c>
      <c r="M71" s="25">
        <f t="shared" si="24"/>
        <v>4.0949169476009861E-3</v>
      </c>
      <c r="N71" s="10"/>
      <c r="R71" s="2"/>
    </row>
    <row r="72" spans="1:18" ht="15.75" x14ac:dyDescent="0.25">
      <c r="A72" s="19"/>
      <c r="B72" s="20">
        <f>DATE(2019,2,1)</f>
        <v>43497</v>
      </c>
      <c r="C72" s="21">
        <v>258062</v>
      </c>
      <c r="D72" s="21">
        <v>270857</v>
      </c>
      <c r="E72" s="23">
        <f t="shared" si="20"/>
        <v>-4.7238948965690385E-2</v>
      </c>
      <c r="F72" s="21">
        <f>+C72-117954</f>
        <v>140108</v>
      </c>
      <c r="G72" s="21">
        <f>+D72-128704</f>
        <v>142153</v>
      </c>
      <c r="H72" s="23">
        <f t="shared" si="21"/>
        <v>-1.4385908141228114E-2</v>
      </c>
      <c r="I72" s="24">
        <f t="shared" si="22"/>
        <v>47.38271306895242</v>
      </c>
      <c r="J72" s="24">
        <f t="shared" si="23"/>
        <v>87.273229936905807</v>
      </c>
      <c r="K72" s="21">
        <v>12227677.699999999</v>
      </c>
      <c r="L72" s="21">
        <v>12877404.859999999</v>
      </c>
      <c r="M72" s="25">
        <f t="shared" si="24"/>
        <v>-5.0454821220865163E-2</v>
      </c>
      <c r="N72" s="10"/>
      <c r="R72" s="2"/>
    </row>
    <row r="73" spans="1:18" ht="15.75" x14ac:dyDescent="0.25">
      <c r="A73" s="19"/>
      <c r="B73" s="20">
        <f>DATE(2019,3,1)</f>
        <v>43525</v>
      </c>
      <c r="C73" s="21">
        <v>321088</v>
      </c>
      <c r="D73" s="21">
        <v>316084</v>
      </c>
      <c r="E73" s="23">
        <f t="shared" si="20"/>
        <v>1.5831234735070424E-2</v>
      </c>
      <c r="F73" s="21">
        <f>+C73-149417</f>
        <v>171671</v>
      </c>
      <c r="G73" s="21">
        <f>+D73-148506</f>
        <v>167578</v>
      </c>
      <c r="H73" s="23">
        <f t="shared" si="21"/>
        <v>2.4424447123130723E-2</v>
      </c>
      <c r="I73" s="24">
        <f t="shared" si="22"/>
        <v>55.952626663095472</v>
      </c>
      <c r="J73" s="24">
        <f t="shared" si="23"/>
        <v>104.65202037618467</v>
      </c>
      <c r="K73" s="21">
        <v>17965716.989999998</v>
      </c>
      <c r="L73" s="21">
        <v>15593527.59</v>
      </c>
      <c r="M73" s="25">
        <f t="shared" si="24"/>
        <v>0.15212654008585355</v>
      </c>
      <c r="N73" s="10"/>
      <c r="R73" s="2"/>
    </row>
    <row r="74" spans="1:18" ht="15.75" x14ac:dyDescent="0.25">
      <c r="A74" s="19"/>
      <c r="B74" s="20">
        <f>DATE(2019,4,1)</f>
        <v>43556</v>
      </c>
      <c r="C74" s="21">
        <v>281827</v>
      </c>
      <c r="D74" s="21">
        <v>286029</v>
      </c>
      <c r="E74" s="23">
        <f t="shared" si="20"/>
        <v>-1.4690818063902612E-2</v>
      </c>
      <c r="F74" s="21">
        <f>+C74-132506</f>
        <v>149321</v>
      </c>
      <c r="G74" s="21">
        <f>+D74-135899</f>
        <v>150130</v>
      </c>
      <c r="H74" s="23">
        <f t="shared" si="21"/>
        <v>-5.388663158595884E-3</v>
      </c>
      <c r="I74" s="24">
        <f t="shared" si="22"/>
        <v>50.945597228086733</v>
      </c>
      <c r="J74" s="24">
        <f t="shared" si="23"/>
        <v>96.154223652399864</v>
      </c>
      <c r="K74" s="21">
        <v>14357844.83</v>
      </c>
      <c r="L74" s="21">
        <v>13890244.65</v>
      </c>
      <c r="M74" s="25">
        <f t="shared" si="24"/>
        <v>3.3663926862512079E-2</v>
      </c>
      <c r="N74" s="10"/>
      <c r="R74" s="2"/>
    </row>
    <row r="75" spans="1:18" ht="15.75" x14ac:dyDescent="0.25">
      <c r="A75" s="19"/>
      <c r="B75" s="20">
        <f>DATE(2019,5,1)</f>
        <v>43586</v>
      </c>
      <c r="C75" s="21">
        <v>301483</v>
      </c>
      <c r="D75" s="21">
        <v>278772</v>
      </c>
      <c r="E75" s="23">
        <f t="shared" si="20"/>
        <v>8.1468009699682889E-2</v>
      </c>
      <c r="F75" s="21">
        <f>+C75-140257</f>
        <v>161226</v>
      </c>
      <c r="G75" s="21">
        <f>+D75-132167</f>
        <v>146605</v>
      </c>
      <c r="H75" s="23">
        <f t="shared" si="21"/>
        <v>9.9730568534497466E-2</v>
      </c>
      <c r="I75" s="24">
        <f t="shared" si="22"/>
        <v>57.61186391935864</v>
      </c>
      <c r="J75" s="24">
        <f t="shared" si="23"/>
        <v>107.73074795628497</v>
      </c>
      <c r="K75" s="21">
        <v>17368997.57</v>
      </c>
      <c r="L75" s="21">
        <v>13329198.300000001</v>
      </c>
      <c r="M75" s="25">
        <f t="shared" si="24"/>
        <v>0.30307893836345728</v>
      </c>
      <c r="N75" s="10"/>
      <c r="R75" s="2"/>
    </row>
    <row r="76" spans="1:18" ht="15.75" thickBot="1" x14ac:dyDescent="0.25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SUM(C65:C76)</f>
        <v>3168461</v>
      </c>
      <c r="D77" s="41">
        <f>SUM(D65:D76)</f>
        <v>3282912</v>
      </c>
      <c r="E77" s="281">
        <f>(+C77-D77)/D77</f>
        <v>-3.4862646333499038E-2</v>
      </c>
      <c r="F77" s="47">
        <f>SUM(F65:F76)</f>
        <v>1696776</v>
      </c>
      <c r="G77" s="48">
        <f>SUM(G65:G76)</f>
        <v>1742072</v>
      </c>
      <c r="H77" s="49">
        <f>(+F77-G77)/G77</f>
        <v>-2.6001221533897566E-2</v>
      </c>
      <c r="I77" s="50">
        <f>K77/C77</f>
        <v>51.514097468771119</v>
      </c>
      <c r="J77" s="51">
        <f>K77/F77</f>
        <v>96.194435081590029</v>
      </c>
      <c r="K77" s="48">
        <f>SUM(K65:K76)</f>
        <v>163220408.78</v>
      </c>
      <c r="L77" s="47">
        <f>SUM(L65:L76)</f>
        <v>159584684.64000002</v>
      </c>
      <c r="M77" s="44">
        <f>(+K77-L77)/L77</f>
        <v>2.278241266197727E-2</v>
      </c>
      <c r="N77" s="10"/>
      <c r="R77" s="2"/>
    </row>
    <row r="78" spans="1:18" ht="15.75" customHeight="1" thickTop="1" x14ac:dyDescent="0.25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x14ac:dyDescent="0.25">
      <c r="A79" s="274" t="s">
        <v>66</v>
      </c>
      <c r="B79" s="20">
        <f>DATE(2018,7,1)</f>
        <v>43282</v>
      </c>
      <c r="C79" s="21">
        <v>129160</v>
      </c>
      <c r="D79" s="21">
        <v>155680</v>
      </c>
      <c r="E79" s="23">
        <f t="shared" ref="E79:E89" si="25">(+C79-D79)/D79</f>
        <v>-0.17034943473792394</v>
      </c>
      <c r="F79" s="21">
        <f>+C79-62596</f>
        <v>66564</v>
      </c>
      <c r="G79" s="21">
        <f>+D79-76075</f>
        <v>79605</v>
      </c>
      <c r="H79" s="23">
        <f t="shared" ref="H79:H89" si="26">(+F79-G79)/G79</f>
        <v>-0.16382136800452232</v>
      </c>
      <c r="I79" s="24">
        <f t="shared" ref="I79:I89" si="27">K79/C79</f>
        <v>40.406414911737379</v>
      </c>
      <c r="J79" s="24">
        <f t="shared" ref="J79:J89" si="28">K79/F79</f>
        <v>78.404130611141156</v>
      </c>
      <c r="K79" s="21">
        <v>5218892.55</v>
      </c>
      <c r="L79" s="21">
        <v>5695517.9800000004</v>
      </c>
      <c r="M79" s="25">
        <f t="shared" ref="M79:M89" si="29">(+K79-L79)/L79</f>
        <v>-8.3684299070547502E-2</v>
      </c>
      <c r="N79" s="10"/>
      <c r="R79" s="2"/>
    </row>
    <row r="80" spans="1:18" ht="15.75" x14ac:dyDescent="0.25">
      <c r="A80" s="274"/>
      <c r="B80" s="20">
        <f>DATE(2018,8,1)</f>
        <v>43313</v>
      </c>
      <c r="C80" s="21">
        <v>120860</v>
      </c>
      <c r="D80" s="21">
        <v>137297</v>
      </c>
      <c r="E80" s="23">
        <f t="shared" si="25"/>
        <v>-0.11971856631973021</v>
      </c>
      <c r="F80" s="21">
        <f>+C80-58336</f>
        <v>62524</v>
      </c>
      <c r="G80" s="21">
        <f>+D80-65122</f>
        <v>72175</v>
      </c>
      <c r="H80" s="23">
        <f t="shared" si="26"/>
        <v>-0.13371666089366124</v>
      </c>
      <c r="I80" s="24">
        <f t="shared" si="27"/>
        <v>43.548342462353133</v>
      </c>
      <c r="J80" s="24">
        <f t="shared" si="28"/>
        <v>84.179717708399977</v>
      </c>
      <c r="K80" s="21">
        <v>5263252.67</v>
      </c>
      <c r="L80" s="21">
        <v>5143794.97</v>
      </c>
      <c r="M80" s="25">
        <f t="shared" si="29"/>
        <v>2.3223651155753627E-2</v>
      </c>
      <c r="N80" s="10"/>
      <c r="R80" s="2"/>
    </row>
    <row r="81" spans="1:18" ht="15.75" x14ac:dyDescent="0.25">
      <c r="A81" s="274"/>
      <c r="B81" s="20">
        <f>DATE(2018,9,1)</f>
        <v>43344</v>
      </c>
      <c r="C81" s="21">
        <v>129571</v>
      </c>
      <c r="D81" s="21">
        <v>149373</v>
      </c>
      <c r="E81" s="23">
        <f t="shared" si="25"/>
        <v>-0.13256746533844804</v>
      </c>
      <c r="F81" s="21">
        <f>+C81-62477</f>
        <v>67094</v>
      </c>
      <c r="G81" s="21">
        <f>+D81-70315</f>
        <v>79058</v>
      </c>
      <c r="H81" s="23">
        <f t="shared" si="26"/>
        <v>-0.15133193351716462</v>
      </c>
      <c r="I81" s="24">
        <f t="shared" si="27"/>
        <v>39.031131348835771</v>
      </c>
      <c r="J81" s="24">
        <f t="shared" si="28"/>
        <v>75.376378215637757</v>
      </c>
      <c r="K81" s="21">
        <v>5057302.72</v>
      </c>
      <c r="L81" s="21">
        <v>5888747.75</v>
      </c>
      <c r="M81" s="25">
        <f t="shared" si="29"/>
        <v>-0.14119216262914305</v>
      </c>
      <c r="N81" s="10"/>
      <c r="R81" s="2"/>
    </row>
    <row r="82" spans="1:18" ht="15.75" x14ac:dyDescent="0.25">
      <c r="A82" s="274"/>
      <c r="B82" s="20">
        <f>DATE(2018,10,1)</f>
        <v>43374</v>
      </c>
      <c r="C82" s="21">
        <v>116235</v>
      </c>
      <c r="D82" s="21">
        <v>144440</v>
      </c>
      <c r="E82" s="23">
        <f t="shared" si="25"/>
        <v>-0.1952713929659374</v>
      </c>
      <c r="F82" s="21">
        <f>+C82-55536</f>
        <v>60699</v>
      </c>
      <c r="G82" s="21">
        <f>+D82-68619</f>
        <v>75821</v>
      </c>
      <c r="H82" s="23">
        <f t="shared" si="26"/>
        <v>-0.19944342596378312</v>
      </c>
      <c r="I82" s="24">
        <f t="shared" si="27"/>
        <v>42.496575386071328</v>
      </c>
      <c r="J82" s="24">
        <f t="shared" si="28"/>
        <v>81.378431934628253</v>
      </c>
      <c r="K82" s="21">
        <v>4939589.4400000004</v>
      </c>
      <c r="L82" s="21">
        <v>5166610</v>
      </c>
      <c r="M82" s="25">
        <f t="shared" si="29"/>
        <v>-4.393994514778541E-2</v>
      </c>
      <c r="N82" s="10"/>
      <c r="R82" s="2"/>
    </row>
    <row r="83" spans="1:18" ht="15.75" x14ac:dyDescent="0.25">
      <c r="A83" s="274"/>
      <c r="B83" s="20">
        <f>DATE(2018,11,1)</f>
        <v>43405</v>
      </c>
      <c r="C83" s="21">
        <v>117294</v>
      </c>
      <c r="D83" s="21">
        <v>136794</v>
      </c>
      <c r="E83" s="23">
        <f t="shared" si="25"/>
        <v>-0.14255011184701083</v>
      </c>
      <c r="F83" s="21">
        <f>+C83-56187</f>
        <v>61107</v>
      </c>
      <c r="G83" s="21">
        <f>+D83-66771</f>
        <v>70023</v>
      </c>
      <c r="H83" s="23">
        <f t="shared" si="26"/>
        <v>-0.12732959170558245</v>
      </c>
      <c r="I83" s="24">
        <f t="shared" si="27"/>
        <v>41.788361467764766</v>
      </c>
      <c r="J83" s="24">
        <f t="shared" si="28"/>
        <v>80.212153599423971</v>
      </c>
      <c r="K83" s="21">
        <v>4901524.07</v>
      </c>
      <c r="L83" s="21">
        <v>5061067.71</v>
      </c>
      <c r="M83" s="25">
        <f t="shared" si="29"/>
        <v>-3.1523711821670068E-2</v>
      </c>
      <c r="N83" s="10"/>
      <c r="R83" s="2"/>
    </row>
    <row r="84" spans="1:18" ht="15.75" x14ac:dyDescent="0.25">
      <c r="A84" s="274"/>
      <c r="B84" s="20">
        <f>DATE(2018,12,1)</f>
        <v>43435</v>
      </c>
      <c r="C84" s="21">
        <v>141406</v>
      </c>
      <c r="D84" s="21">
        <v>153482</v>
      </c>
      <c r="E84" s="23">
        <f t="shared" si="25"/>
        <v>-7.8680236118893424E-2</v>
      </c>
      <c r="F84" s="21">
        <f>+C84-68500</f>
        <v>72906</v>
      </c>
      <c r="G84" s="21">
        <f>+D84-73779</f>
        <v>79703</v>
      </c>
      <c r="H84" s="23">
        <f t="shared" si="26"/>
        <v>-8.527909865375205E-2</v>
      </c>
      <c r="I84" s="24">
        <f t="shared" si="27"/>
        <v>38.961130998684638</v>
      </c>
      <c r="J84" s="24">
        <f t="shared" si="28"/>
        <v>75.567685650015093</v>
      </c>
      <c r="K84" s="21">
        <v>5509337.6900000004</v>
      </c>
      <c r="L84" s="21">
        <v>5630075.2199999997</v>
      </c>
      <c r="M84" s="25">
        <f t="shared" si="29"/>
        <v>-2.1445100692633258E-2</v>
      </c>
      <c r="N84" s="10"/>
      <c r="R84" s="2"/>
    </row>
    <row r="85" spans="1:18" ht="15.75" x14ac:dyDescent="0.25">
      <c r="A85" s="274"/>
      <c r="B85" s="20">
        <f>DATE(2019,1,1)</f>
        <v>43466</v>
      </c>
      <c r="C85" s="21">
        <v>109334</v>
      </c>
      <c r="D85" s="21">
        <v>133357</v>
      </c>
      <c r="E85" s="23">
        <f t="shared" si="25"/>
        <v>-0.18014052505680242</v>
      </c>
      <c r="F85" s="21">
        <f>+C85-54908</f>
        <v>54426</v>
      </c>
      <c r="G85" s="21">
        <f>+D85-65017</f>
        <v>68340</v>
      </c>
      <c r="H85" s="23">
        <f t="shared" si="26"/>
        <v>-0.20359964881474979</v>
      </c>
      <c r="I85" s="24">
        <f t="shared" si="27"/>
        <v>43.65992170779446</v>
      </c>
      <c r="J85" s="24">
        <f t="shared" si="28"/>
        <v>87.706498364752136</v>
      </c>
      <c r="K85" s="21">
        <v>4773513.88</v>
      </c>
      <c r="L85" s="21">
        <v>4560342.97</v>
      </c>
      <c r="M85" s="25">
        <f t="shared" si="29"/>
        <v>4.6744490798682224E-2</v>
      </c>
      <c r="N85" s="10"/>
      <c r="R85" s="2"/>
    </row>
    <row r="86" spans="1:18" ht="15.75" x14ac:dyDescent="0.25">
      <c r="A86" s="274"/>
      <c r="B86" s="20">
        <f>DATE(2019,2,1)</f>
        <v>43497</v>
      </c>
      <c r="C86" s="21">
        <v>121868</v>
      </c>
      <c r="D86" s="21">
        <v>147114</v>
      </c>
      <c r="E86" s="23">
        <f t="shared" si="25"/>
        <v>-0.17160841252362113</v>
      </c>
      <c r="F86" s="21">
        <f>+C86-59002</f>
        <v>62866</v>
      </c>
      <c r="G86" s="21">
        <f>+D86-72403</f>
        <v>74711</v>
      </c>
      <c r="H86" s="23">
        <f t="shared" si="26"/>
        <v>-0.15854425720442772</v>
      </c>
      <c r="I86" s="24">
        <f t="shared" si="27"/>
        <v>41.755632815833522</v>
      </c>
      <c r="J86" s="24">
        <f t="shared" si="28"/>
        <v>80.944794642573086</v>
      </c>
      <c r="K86" s="21">
        <v>5088675.46</v>
      </c>
      <c r="L86" s="21">
        <v>5360198.1900000004</v>
      </c>
      <c r="M86" s="25">
        <f t="shared" si="29"/>
        <v>-5.0655352726799163E-2</v>
      </c>
      <c r="N86" s="10"/>
      <c r="R86" s="2"/>
    </row>
    <row r="87" spans="1:18" ht="15.75" x14ac:dyDescent="0.25">
      <c r="A87" s="274"/>
      <c r="B87" s="20">
        <f>DATE(2019,3,1)</f>
        <v>43525</v>
      </c>
      <c r="C87" s="21">
        <v>142745</v>
      </c>
      <c r="D87" s="21">
        <v>167073</v>
      </c>
      <c r="E87" s="23">
        <f t="shared" si="25"/>
        <v>-0.14561299551692972</v>
      </c>
      <c r="F87" s="21">
        <f>+C87-71745</f>
        <v>71000</v>
      </c>
      <c r="G87" s="21">
        <f>+D87-81355</f>
        <v>85718</v>
      </c>
      <c r="H87" s="23">
        <f t="shared" si="26"/>
        <v>-0.17170255955575259</v>
      </c>
      <c r="I87" s="24">
        <f t="shared" si="27"/>
        <v>43.305290693194152</v>
      </c>
      <c r="J87" s="24">
        <f t="shared" si="28"/>
        <v>87.064981971830989</v>
      </c>
      <c r="K87" s="21">
        <v>6181613.7199999997</v>
      </c>
      <c r="L87" s="21">
        <v>6584654.3099999996</v>
      </c>
      <c r="M87" s="25">
        <f t="shared" si="29"/>
        <v>-6.1209073555753585E-2</v>
      </c>
      <c r="N87" s="10"/>
      <c r="R87" s="2"/>
    </row>
    <row r="88" spans="1:18" ht="15.75" x14ac:dyDescent="0.25">
      <c r="A88" s="274"/>
      <c r="B88" s="20">
        <f>DATE(2019,4,1)</f>
        <v>43556</v>
      </c>
      <c r="C88" s="21">
        <v>114950</v>
      </c>
      <c r="D88" s="21">
        <v>137732</v>
      </c>
      <c r="E88" s="23">
        <f t="shared" si="25"/>
        <v>-0.16540818400952575</v>
      </c>
      <c r="F88" s="21">
        <f>+C88-55788</f>
        <v>59162</v>
      </c>
      <c r="G88" s="21">
        <f>+D88-67146</f>
        <v>70586</v>
      </c>
      <c r="H88" s="23">
        <f t="shared" si="26"/>
        <v>-0.16184512509562804</v>
      </c>
      <c r="I88" s="24">
        <f t="shared" si="27"/>
        <v>44.856115528490655</v>
      </c>
      <c r="J88" s="24">
        <f t="shared" si="28"/>
        <v>87.154093505966671</v>
      </c>
      <c r="K88" s="21">
        <v>5156210.4800000004</v>
      </c>
      <c r="L88" s="21">
        <v>5327835.91</v>
      </c>
      <c r="M88" s="25">
        <f t="shared" si="29"/>
        <v>-3.2212972189678363E-2</v>
      </c>
      <c r="N88" s="10"/>
      <c r="R88" s="2"/>
    </row>
    <row r="89" spans="1:18" ht="15.75" x14ac:dyDescent="0.25">
      <c r="A89" s="274"/>
      <c r="B89" s="20">
        <f>DATE(2019,5,1)</f>
        <v>43586</v>
      </c>
      <c r="C89" s="21">
        <v>119002</v>
      </c>
      <c r="D89" s="21">
        <v>130775</v>
      </c>
      <c r="E89" s="23">
        <f t="shared" si="25"/>
        <v>-9.0024851844771547E-2</v>
      </c>
      <c r="F89" s="21">
        <f>+C89-58143</f>
        <v>60859</v>
      </c>
      <c r="G89" s="21">
        <f>+D89-62861</f>
        <v>67914</v>
      </c>
      <c r="H89" s="23">
        <f t="shared" si="26"/>
        <v>-0.10388137939158347</v>
      </c>
      <c r="I89" s="24">
        <f t="shared" si="27"/>
        <v>43.666655434362447</v>
      </c>
      <c r="J89" s="24">
        <f t="shared" si="28"/>
        <v>85.384566456892159</v>
      </c>
      <c r="K89" s="21">
        <v>5196419.33</v>
      </c>
      <c r="L89" s="21">
        <v>5235093.9400000004</v>
      </c>
      <c r="M89" s="25">
        <f t="shared" si="29"/>
        <v>-7.3875675285399621E-3</v>
      </c>
      <c r="N89" s="10"/>
      <c r="R89" s="2"/>
    </row>
    <row r="90" spans="1:18" ht="15.75" customHeight="1" thickBot="1" x14ac:dyDescent="0.3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SUM(C79:C90)</f>
        <v>1362425</v>
      </c>
      <c r="D91" s="48">
        <f>SUM(D79:D90)</f>
        <v>1593117</v>
      </c>
      <c r="E91" s="281">
        <f>(+C91-D91)/D91</f>
        <v>-0.14480543488017517</v>
      </c>
      <c r="F91" s="48">
        <f>SUM(F79:F90)</f>
        <v>699207</v>
      </c>
      <c r="G91" s="47">
        <f>SUM(G79:G90)</f>
        <v>823654</v>
      </c>
      <c r="H91" s="46">
        <f>(+F91-G91)/G91</f>
        <v>-0.15109135632195073</v>
      </c>
      <c r="I91" s="51">
        <f>K91/C91</f>
        <v>42.047328851129421</v>
      </c>
      <c r="J91" s="50">
        <f>K91/F91</f>
        <v>81.930432632968504</v>
      </c>
      <c r="K91" s="47">
        <f>SUM(K79:K90)</f>
        <v>57286332.010000005</v>
      </c>
      <c r="L91" s="48">
        <f>SUM(L79:L90)</f>
        <v>59653938.950000003</v>
      </c>
      <c r="M91" s="44">
        <f>(+K91-L91)/L91</f>
        <v>-3.9689029453435574E-2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17</v>
      </c>
      <c r="B93" s="20">
        <f>DATE(2018,7,1)</f>
        <v>43282</v>
      </c>
      <c r="C93" s="21">
        <v>164240</v>
      </c>
      <c r="D93" s="21">
        <v>176619</v>
      </c>
      <c r="E93" s="23">
        <f t="shared" ref="E93:E103" si="30">(+C93-D93)/D93</f>
        <v>-7.0088722051421415E-2</v>
      </c>
      <c r="F93" s="21">
        <f>+C93-78084</f>
        <v>86156</v>
      </c>
      <c r="G93" s="21">
        <f>+D93-82680</f>
        <v>93939</v>
      </c>
      <c r="H93" s="23">
        <f t="shared" ref="H93:H103" si="31">(+F93-G93)/G93</f>
        <v>-8.2851637764932567E-2</v>
      </c>
      <c r="I93" s="24">
        <f t="shared" ref="I93:I103" si="32">K93/C93</f>
        <v>35.170054858743299</v>
      </c>
      <c r="J93" s="24">
        <f t="shared" ref="J93:J103" si="33">K93/F93</f>
        <v>67.045009169413618</v>
      </c>
      <c r="K93" s="21">
        <v>5776329.8099999996</v>
      </c>
      <c r="L93" s="21">
        <v>6184772.9199999999</v>
      </c>
      <c r="M93" s="25">
        <f t="shared" ref="M93:M103" si="34">(+K93-L93)/L93</f>
        <v>-6.6040114210046102E-2</v>
      </c>
      <c r="N93" s="10"/>
      <c r="R93" s="2"/>
    </row>
    <row r="94" spans="1:18" ht="15.75" x14ac:dyDescent="0.25">
      <c r="A94" s="19"/>
      <c r="B94" s="20">
        <f>DATE(2018,8,1)</f>
        <v>43313</v>
      </c>
      <c r="C94" s="21">
        <v>161125</v>
      </c>
      <c r="D94" s="21">
        <v>166602</v>
      </c>
      <c r="E94" s="23">
        <f t="shared" si="30"/>
        <v>-3.2874755405097177E-2</v>
      </c>
      <c r="F94" s="21">
        <f>+C94-76425</f>
        <v>84700</v>
      </c>
      <c r="G94" s="21">
        <f>+D94-77233</f>
        <v>89369</v>
      </c>
      <c r="H94" s="23">
        <f t="shared" si="31"/>
        <v>-5.224406673455001E-2</v>
      </c>
      <c r="I94" s="24">
        <f t="shared" si="32"/>
        <v>34.524392986811485</v>
      </c>
      <c r="J94" s="24">
        <f t="shared" si="33"/>
        <v>65.675830224321132</v>
      </c>
      <c r="K94" s="21">
        <v>5562742.8200000003</v>
      </c>
      <c r="L94" s="21">
        <v>5912368.3300000001</v>
      </c>
      <c r="M94" s="25">
        <f t="shared" si="34"/>
        <v>-5.9134595560625329E-2</v>
      </c>
      <c r="N94" s="10"/>
      <c r="R94" s="2"/>
    </row>
    <row r="95" spans="1:18" ht="15.75" x14ac:dyDescent="0.25">
      <c r="A95" s="19"/>
      <c r="B95" s="20">
        <f>DATE(2018,9,1)</f>
        <v>43344</v>
      </c>
      <c r="C95" s="21">
        <v>154193</v>
      </c>
      <c r="D95" s="21">
        <v>169194</v>
      </c>
      <c r="E95" s="23">
        <f t="shared" si="30"/>
        <v>-8.8661536461103821E-2</v>
      </c>
      <c r="F95" s="21">
        <f>+C95-72768</f>
        <v>81425</v>
      </c>
      <c r="G95" s="21">
        <f>+D95-79368</f>
        <v>89826</v>
      </c>
      <c r="H95" s="23">
        <f t="shared" si="31"/>
        <v>-9.3525259947008665E-2</v>
      </c>
      <c r="I95" s="24">
        <f t="shared" si="32"/>
        <v>34.861351034093637</v>
      </c>
      <c r="J95" s="24">
        <f t="shared" si="33"/>
        <v>66.016288609149527</v>
      </c>
      <c r="K95" s="21">
        <v>5375376.2999999998</v>
      </c>
      <c r="L95" s="21">
        <v>5903665.7400000002</v>
      </c>
      <c r="M95" s="25">
        <f t="shared" si="34"/>
        <v>-8.9484984968000642E-2</v>
      </c>
      <c r="N95" s="10"/>
      <c r="R95" s="2"/>
    </row>
    <row r="96" spans="1:18" ht="15.75" x14ac:dyDescent="0.25">
      <c r="A96" s="19"/>
      <c r="B96" s="20">
        <f>DATE(2018,10,1)</f>
        <v>43374</v>
      </c>
      <c r="C96" s="21">
        <v>153175</v>
      </c>
      <c r="D96" s="21">
        <v>167767</v>
      </c>
      <c r="E96" s="23">
        <f t="shared" si="30"/>
        <v>-8.6977772744341861E-2</v>
      </c>
      <c r="F96" s="21">
        <f>+C96-73639</f>
        <v>79536</v>
      </c>
      <c r="G96" s="21">
        <f>+D96-77884</f>
        <v>89883</v>
      </c>
      <c r="H96" s="23">
        <f t="shared" si="31"/>
        <v>-0.11511631787991056</v>
      </c>
      <c r="I96" s="24">
        <f t="shared" si="32"/>
        <v>34.315905337032802</v>
      </c>
      <c r="J96" s="24">
        <f t="shared" si="33"/>
        <v>66.087542747938045</v>
      </c>
      <c r="K96" s="21">
        <v>5256338.8</v>
      </c>
      <c r="L96" s="21">
        <v>5780372.5599999996</v>
      </c>
      <c r="M96" s="25">
        <f t="shared" si="34"/>
        <v>-9.0657436793312826E-2</v>
      </c>
      <c r="N96" s="10"/>
      <c r="R96" s="2"/>
    </row>
    <row r="97" spans="1:18" ht="15.75" x14ac:dyDescent="0.25">
      <c r="A97" s="19"/>
      <c r="B97" s="20">
        <f>DATE(2018,11,1)</f>
        <v>43405</v>
      </c>
      <c r="C97" s="21">
        <v>139109</v>
      </c>
      <c r="D97" s="21">
        <v>158513</v>
      </c>
      <c r="E97" s="23">
        <f t="shared" si="30"/>
        <v>-0.12241267277762707</v>
      </c>
      <c r="F97" s="21">
        <f>+C97-66707</f>
        <v>72402</v>
      </c>
      <c r="G97" s="21">
        <f>+D97-75019</f>
        <v>83494</v>
      </c>
      <c r="H97" s="23">
        <f t="shared" si="31"/>
        <v>-0.13284786930797424</v>
      </c>
      <c r="I97" s="24">
        <f t="shared" si="32"/>
        <v>36.458471270730151</v>
      </c>
      <c r="J97" s="24">
        <f t="shared" si="33"/>
        <v>70.049190353857639</v>
      </c>
      <c r="K97" s="21">
        <v>5071701.4800000004</v>
      </c>
      <c r="L97" s="21">
        <v>5726979.4000000004</v>
      </c>
      <c r="M97" s="25">
        <f t="shared" si="34"/>
        <v>-0.11441946517216386</v>
      </c>
      <c r="N97" s="10"/>
      <c r="R97" s="2"/>
    </row>
    <row r="98" spans="1:18" ht="15.75" x14ac:dyDescent="0.25">
      <c r="A98" s="19"/>
      <c r="B98" s="20">
        <f>DATE(2018,12,1)</f>
        <v>43435</v>
      </c>
      <c r="C98" s="21">
        <v>159746</v>
      </c>
      <c r="D98" s="21">
        <v>166668</v>
      </c>
      <c r="E98" s="23">
        <f t="shared" si="30"/>
        <v>-4.1531667746658028E-2</v>
      </c>
      <c r="F98" s="21">
        <f>+C98-79467</f>
        <v>80279</v>
      </c>
      <c r="G98" s="21">
        <f>+D98-80383</f>
        <v>86285</v>
      </c>
      <c r="H98" s="23">
        <f t="shared" si="31"/>
        <v>-6.9606536477950981E-2</v>
      </c>
      <c r="I98" s="24">
        <f t="shared" si="32"/>
        <v>34.945808470947632</v>
      </c>
      <c r="J98" s="24">
        <f t="shared" si="33"/>
        <v>69.538149702911099</v>
      </c>
      <c r="K98" s="21">
        <v>5582453.1200000001</v>
      </c>
      <c r="L98" s="21">
        <v>5903265.1799999997</v>
      </c>
      <c r="M98" s="25">
        <f t="shared" si="34"/>
        <v>-5.4344849878487013E-2</v>
      </c>
      <c r="N98" s="10"/>
      <c r="R98" s="2"/>
    </row>
    <row r="99" spans="1:18" ht="15.75" x14ac:dyDescent="0.25">
      <c r="A99" s="19"/>
      <c r="B99" s="20">
        <f>DATE(2019,1,1)</f>
        <v>43466</v>
      </c>
      <c r="C99" s="21">
        <v>139301</v>
      </c>
      <c r="D99" s="21">
        <v>147576</v>
      </c>
      <c r="E99" s="23">
        <f t="shared" si="30"/>
        <v>-5.6072803165826419E-2</v>
      </c>
      <c r="F99" s="21">
        <f>+C99-68038</f>
        <v>71263</v>
      </c>
      <c r="G99" s="21">
        <f>+D99-71568</f>
        <v>76008</v>
      </c>
      <c r="H99" s="23">
        <f t="shared" si="31"/>
        <v>-6.2427639195874116E-2</v>
      </c>
      <c r="I99" s="24">
        <f t="shared" si="32"/>
        <v>34.374784172403643</v>
      </c>
      <c r="J99" s="24">
        <f t="shared" si="33"/>
        <v>67.193940894994597</v>
      </c>
      <c r="K99" s="21">
        <v>4788441.8099999996</v>
      </c>
      <c r="L99" s="21">
        <v>5289226.37</v>
      </c>
      <c r="M99" s="25">
        <f t="shared" si="34"/>
        <v>-9.4680114816110716E-2</v>
      </c>
      <c r="N99" s="10"/>
      <c r="R99" s="2"/>
    </row>
    <row r="100" spans="1:18" ht="15.75" x14ac:dyDescent="0.25">
      <c r="A100" s="19"/>
      <c r="B100" s="20">
        <f>DATE(2019,2,1)</f>
        <v>43497</v>
      </c>
      <c r="C100" s="21">
        <v>142213</v>
      </c>
      <c r="D100" s="21">
        <v>152976</v>
      </c>
      <c r="E100" s="23">
        <f t="shared" si="30"/>
        <v>-7.0357441690199765E-2</v>
      </c>
      <c r="F100" s="21">
        <f>+C100-71744</f>
        <v>70469</v>
      </c>
      <c r="G100" s="21">
        <f>+D100-75431</f>
        <v>77545</v>
      </c>
      <c r="H100" s="23">
        <f t="shared" si="31"/>
        <v>-9.1250241795086728E-2</v>
      </c>
      <c r="I100" s="24">
        <f t="shared" si="32"/>
        <v>36.557830648393605</v>
      </c>
      <c r="J100" s="24">
        <f t="shared" si="33"/>
        <v>73.777104400516535</v>
      </c>
      <c r="K100" s="21">
        <v>5198998.7699999996</v>
      </c>
      <c r="L100" s="21">
        <v>5480060.0499999998</v>
      </c>
      <c r="M100" s="25">
        <f t="shared" si="34"/>
        <v>-5.1287992729203813E-2</v>
      </c>
      <c r="N100" s="10"/>
      <c r="R100" s="2"/>
    </row>
    <row r="101" spans="1:18" ht="15.75" x14ac:dyDescent="0.25">
      <c r="A101" s="19"/>
      <c r="B101" s="20">
        <f>DATE(2019,3,1)</f>
        <v>43525</v>
      </c>
      <c r="C101" s="21">
        <v>174861</v>
      </c>
      <c r="D101" s="21">
        <v>186939</v>
      </c>
      <c r="E101" s="23">
        <f t="shared" si="30"/>
        <v>-6.4609311058687599E-2</v>
      </c>
      <c r="F101" s="21">
        <f>+C101-87444</f>
        <v>87417</v>
      </c>
      <c r="G101" s="21">
        <f>+D101-91616</f>
        <v>95323</v>
      </c>
      <c r="H101" s="23">
        <f t="shared" si="31"/>
        <v>-8.2939059828163186E-2</v>
      </c>
      <c r="I101" s="24">
        <f t="shared" si="32"/>
        <v>37.648605749709766</v>
      </c>
      <c r="J101" s="24">
        <f t="shared" si="33"/>
        <v>75.308839813766198</v>
      </c>
      <c r="K101" s="21">
        <v>6583272.8499999996</v>
      </c>
      <c r="L101" s="21">
        <v>6811826.5599999996</v>
      </c>
      <c r="M101" s="25">
        <f t="shared" si="34"/>
        <v>-3.3552485223581494E-2</v>
      </c>
      <c r="N101" s="10"/>
      <c r="R101" s="2"/>
    </row>
    <row r="102" spans="1:18" ht="15.75" x14ac:dyDescent="0.25">
      <c r="A102" s="19"/>
      <c r="B102" s="20">
        <f>DATE(2019,4,1)</f>
        <v>43556</v>
      </c>
      <c r="C102" s="21">
        <v>151446</v>
      </c>
      <c r="D102" s="21">
        <v>157952</v>
      </c>
      <c r="E102" s="23">
        <f t="shared" si="30"/>
        <v>-4.1189728525121559E-2</v>
      </c>
      <c r="F102" s="21">
        <f>+C102-72754</f>
        <v>78692</v>
      </c>
      <c r="G102" s="21">
        <f>+D102-75399</f>
        <v>82553</v>
      </c>
      <c r="H102" s="23">
        <f t="shared" si="31"/>
        <v>-4.6769953847831093E-2</v>
      </c>
      <c r="I102" s="24">
        <f t="shared" si="32"/>
        <v>37.611289832679638</v>
      </c>
      <c r="J102" s="24">
        <f t="shared" si="33"/>
        <v>72.38447872718956</v>
      </c>
      <c r="K102" s="21">
        <v>5696079.4000000004</v>
      </c>
      <c r="L102" s="21">
        <v>5869549.2000000002</v>
      </c>
      <c r="M102" s="25">
        <f t="shared" si="34"/>
        <v>-2.9554194724187643E-2</v>
      </c>
      <c r="N102" s="10"/>
      <c r="R102" s="2"/>
    </row>
    <row r="103" spans="1:18" ht="15.75" x14ac:dyDescent="0.25">
      <c r="A103" s="19"/>
      <c r="B103" s="20">
        <f>DATE(2019,5,1)</f>
        <v>43586</v>
      </c>
      <c r="C103" s="21">
        <v>161474</v>
      </c>
      <c r="D103" s="21">
        <v>157817</v>
      </c>
      <c r="E103" s="23">
        <f t="shared" si="30"/>
        <v>2.3172408549142362E-2</v>
      </c>
      <c r="F103" s="21">
        <f>+C103-76948</f>
        <v>84526</v>
      </c>
      <c r="G103" s="21">
        <f>+D103-74068</f>
        <v>83749</v>
      </c>
      <c r="H103" s="23">
        <f t="shared" si="31"/>
        <v>9.2777227190772426E-3</v>
      </c>
      <c r="I103" s="24">
        <f t="shared" si="32"/>
        <v>37.625518845139155</v>
      </c>
      <c r="J103" s="24">
        <f t="shared" si="33"/>
        <v>71.877801268248831</v>
      </c>
      <c r="K103" s="21">
        <v>6075543.0300000003</v>
      </c>
      <c r="L103" s="21">
        <v>5495687.9100000001</v>
      </c>
      <c r="M103" s="25">
        <f t="shared" si="34"/>
        <v>0.10551092592883428</v>
      </c>
      <c r="N103" s="10"/>
      <c r="R103" s="2"/>
    </row>
    <row r="104" spans="1:18" ht="15.75" customHeight="1" thickBot="1" x14ac:dyDescent="0.3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45" customHeight="1" thickTop="1" thickBot="1" x14ac:dyDescent="0.3">
      <c r="A105" s="39" t="s">
        <v>14</v>
      </c>
      <c r="B105" s="52"/>
      <c r="C105" s="47">
        <f>SUM(C93:C104)</f>
        <v>1700883</v>
      </c>
      <c r="D105" s="48">
        <f>SUM(D93:D104)</f>
        <v>1808623</v>
      </c>
      <c r="E105" s="281">
        <f>(+C105-D105)/D105</f>
        <v>-5.9570181292618749E-2</v>
      </c>
      <c r="F105" s="48">
        <f>SUM(F93:F104)</f>
        <v>876865</v>
      </c>
      <c r="G105" s="47">
        <f>SUM(G93:G104)</f>
        <v>947974</v>
      </c>
      <c r="H105" s="53">
        <f>(+F105-G105)/G105</f>
        <v>-7.5011550949709585E-2</v>
      </c>
      <c r="I105" s="51">
        <f>K105/C105</f>
        <v>35.844486769519122</v>
      </c>
      <c r="J105" s="50">
        <f>K105/F105</f>
        <v>69.528693915254905</v>
      </c>
      <c r="K105" s="47">
        <f>SUM(K93:K104)</f>
        <v>60967278.189999998</v>
      </c>
      <c r="L105" s="48">
        <f>SUM(L93:L104)</f>
        <v>64357774.219999999</v>
      </c>
      <c r="M105" s="44">
        <f>(+K105-L105)/L105</f>
        <v>-5.2681996403572968E-2</v>
      </c>
      <c r="N105" s="10"/>
      <c r="R105" s="2"/>
    </row>
    <row r="106" spans="1:18" ht="15.75" customHeight="1" thickTop="1" x14ac:dyDescent="0.25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 x14ac:dyDescent="0.25">
      <c r="A107" s="19" t="s">
        <v>67</v>
      </c>
      <c r="B107" s="20">
        <f>DATE(2018,7,1)</f>
        <v>43282</v>
      </c>
      <c r="C107" s="21">
        <v>388346</v>
      </c>
      <c r="D107" s="21">
        <v>366754</v>
      </c>
      <c r="E107" s="23">
        <f t="shared" ref="E107:E117" si="35">(+C107-D107)/D107</f>
        <v>5.887325018950032E-2</v>
      </c>
      <c r="F107" s="21">
        <f>+C107-165497</f>
        <v>222849</v>
      </c>
      <c r="G107" s="21">
        <f>+D107-155073</f>
        <v>211681</v>
      </c>
      <c r="H107" s="23">
        <f t="shared" ref="H107:H117" si="36">(+F107-G107)/G107</f>
        <v>5.2758632092629945E-2</v>
      </c>
      <c r="I107" s="24">
        <f t="shared" ref="I107:I117" si="37">K107/C107</f>
        <v>34.573026991394272</v>
      </c>
      <c r="J107" s="24">
        <f t="shared" ref="J107:J117" si="38">K107/F107</f>
        <v>60.24840470453087</v>
      </c>
      <c r="K107" s="21">
        <v>13426296.74</v>
      </c>
      <c r="L107" s="21">
        <v>12532234.060000001</v>
      </c>
      <c r="M107" s="25">
        <f t="shared" ref="M107:M117" si="39">(+K107-L107)/L107</f>
        <v>7.1341045476771101E-2</v>
      </c>
      <c r="N107" s="10"/>
      <c r="R107" s="2"/>
    </row>
    <row r="108" spans="1:18" ht="15.75" customHeight="1" x14ac:dyDescent="0.25">
      <c r="A108" s="19"/>
      <c r="B108" s="20">
        <f>DATE(2018,8,1)</f>
        <v>43313</v>
      </c>
      <c r="C108" s="21">
        <v>374981</v>
      </c>
      <c r="D108" s="21">
        <v>331896</v>
      </c>
      <c r="E108" s="23">
        <f t="shared" si="35"/>
        <v>0.1298147612505122</v>
      </c>
      <c r="F108" s="21">
        <f>+C108-161656</f>
        <v>213325</v>
      </c>
      <c r="G108" s="21">
        <f>+D108-142759</f>
        <v>189137</v>
      </c>
      <c r="H108" s="23">
        <f t="shared" si="36"/>
        <v>0.12788613544679253</v>
      </c>
      <c r="I108" s="24">
        <f t="shared" si="37"/>
        <v>37.352863371744171</v>
      </c>
      <c r="J108" s="24">
        <f t="shared" si="38"/>
        <v>65.658568194070085</v>
      </c>
      <c r="K108" s="21">
        <v>14006614.060000001</v>
      </c>
      <c r="L108" s="21">
        <v>12428268.710000001</v>
      </c>
      <c r="M108" s="25">
        <f t="shared" si="39"/>
        <v>0.1269963972319037</v>
      </c>
      <c r="N108" s="10"/>
      <c r="R108" s="2"/>
    </row>
    <row r="109" spans="1:18" ht="15.75" customHeight="1" x14ac:dyDescent="0.25">
      <c r="A109" s="19"/>
      <c r="B109" s="20">
        <f>DATE(2018,9,1)</f>
        <v>43344</v>
      </c>
      <c r="C109" s="21">
        <v>360336</v>
      </c>
      <c r="D109" s="21">
        <v>334242</v>
      </c>
      <c r="E109" s="23">
        <f t="shared" si="35"/>
        <v>7.806918340603515E-2</v>
      </c>
      <c r="F109" s="21">
        <f>+C109-155587</f>
        <v>204749</v>
      </c>
      <c r="G109" s="21">
        <f>+D109-144631</f>
        <v>189611</v>
      </c>
      <c r="H109" s="23">
        <f t="shared" si="36"/>
        <v>7.9837140250301933E-2</v>
      </c>
      <c r="I109" s="24">
        <f t="shared" si="37"/>
        <v>36.889373501398694</v>
      </c>
      <c r="J109" s="24">
        <f t="shared" si="38"/>
        <v>64.921290409232768</v>
      </c>
      <c r="K109" s="21">
        <v>13292569.289999999</v>
      </c>
      <c r="L109" s="21">
        <v>11826002.08</v>
      </c>
      <c r="M109" s="25">
        <f t="shared" si="39"/>
        <v>0.12401208794646171</v>
      </c>
      <c r="N109" s="10"/>
      <c r="R109" s="2"/>
    </row>
    <row r="110" spans="1:18" ht="15.75" customHeight="1" x14ac:dyDescent="0.25">
      <c r="A110" s="19"/>
      <c r="B110" s="20">
        <f>DATE(2018,10,1)</f>
        <v>43374</v>
      </c>
      <c r="C110" s="21">
        <v>333769</v>
      </c>
      <c r="D110" s="21">
        <v>316771</v>
      </c>
      <c r="E110" s="23">
        <f t="shared" si="35"/>
        <v>5.3660215108074921E-2</v>
      </c>
      <c r="F110" s="21">
        <f>+C110-146853</f>
        <v>186916</v>
      </c>
      <c r="G110" s="21">
        <f>+D110-139949</f>
        <v>176822</v>
      </c>
      <c r="H110" s="23">
        <f t="shared" si="36"/>
        <v>5.7085656762167605E-2</v>
      </c>
      <c r="I110" s="24">
        <f t="shared" si="37"/>
        <v>39.840406568614824</v>
      </c>
      <c r="J110" s="24">
        <f t="shared" si="38"/>
        <v>71.141543046074176</v>
      </c>
      <c r="K110" s="21">
        <v>13297492.66</v>
      </c>
      <c r="L110" s="21">
        <v>11196087.949999999</v>
      </c>
      <c r="M110" s="25">
        <f t="shared" si="39"/>
        <v>0.18769097915133839</v>
      </c>
      <c r="N110" s="10"/>
      <c r="R110" s="2"/>
    </row>
    <row r="111" spans="1:18" ht="15.75" customHeight="1" x14ac:dyDescent="0.25">
      <c r="A111" s="19"/>
      <c r="B111" s="20">
        <f>DATE(2018,11,1)</f>
        <v>43405</v>
      </c>
      <c r="C111" s="21">
        <v>328810</v>
      </c>
      <c r="D111" s="21">
        <v>320184</v>
      </c>
      <c r="E111" s="23">
        <f t="shared" si="35"/>
        <v>2.6940759063538464E-2</v>
      </c>
      <c r="F111" s="21">
        <f>+C111-148051</f>
        <v>180759</v>
      </c>
      <c r="G111" s="21">
        <f>+D111-141719</f>
        <v>178465</v>
      </c>
      <c r="H111" s="23">
        <f t="shared" si="36"/>
        <v>1.2854061020368139E-2</v>
      </c>
      <c r="I111" s="24">
        <f t="shared" si="37"/>
        <v>38.983007633587789</v>
      </c>
      <c r="J111" s="24">
        <f t="shared" si="38"/>
        <v>70.912113587705178</v>
      </c>
      <c r="K111" s="21">
        <v>12818002.74</v>
      </c>
      <c r="L111" s="21">
        <v>12032537.07</v>
      </c>
      <c r="M111" s="25">
        <f t="shared" si="39"/>
        <v>6.5278474974189288E-2</v>
      </c>
      <c r="N111" s="10"/>
      <c r="R111" s="2"/>
    </row>
    <row r="112" spans="1:18" ht="15.75" customHeight="1" x14ac:dyDescent="0.25">
      <c r="A112" s="19"/>
      <c r="B112" s="20">
        <f>DATE(2018,12,1)</f>
        <v>43435</v>
      </c>
      <c r="C112" s="21">
        <v>359368</v>
      </c>
      <c r="D112" s="21">
        <v>365944</v>
      </c>
      <c r="E112" s="23">
        <f t="shared" si="35"/>
        <v>-1.796996261723105E-2</v>
      </c>
      <c r="F112" s="21">
        <f>+C112-161628</f>
        <v>197740</v>
      </c>
      <c r="G112" s="21">
        <f>+D112-164571</f>
        <v>201373</v>
      </c>
      <c r="H112" s="23">
        <f t="shared" si="36"/>
        <v>-1.8041147522259687E-2</v>
      </c>
      <c r="I112" s="24">
        <f t="shared" si="37"/>
        <v>38.839339368001603</v>
      </c>
      <c r="J112" s="24">
        <f t="shared" si="38"/>
        <v>70.585696925255391</v>
      </c>
      <c r="K112" s="21">
        <v>13957615.710000001</v>
      </c>
      <c r="L112" s="21">
        <v>13116522.43</v>
      </c>
      <c r="M112" s="25">
        <f t="shared" si="39"/>
        <v>6.4124716325438494E-2</v>
      </c>
      <c r="N112" s="10"/>
      <c r="R112" s="2"/>
    </row>
    <row r="113" spans="1:18" ht="15.75" customHeight="1" x14ac:dyDescent="0.25">
      <c r="A113" s="19"/>
      <c r="B113" s="20">
        <f>DATE(2019,1,1)</f>
        <v>43466</v>
      </c>
      <c r="C113" s="21">
        <v>297137</v>
      </c>
      <c r="D113" s="21">
        <v>343002</v>
      </c>
      <c r="E113" s="23">
        <f t="shared" si="35"/>
        <v>-0.13371642147859197</v>
      </c>
      <c r="F113" s="21">
        <f>+C113-130678</f>
        <v>166459</v>
      </c>
      <c r="G113" s="21">
        <f>+D113-149849</f>
        <v>193153</v>
      </c>
      <c r="H113" s="23">
        <f t="shared" si="36"/>
        <v>-0.13820132226783949</v>
      </c>
      <c r="I113" s="24">
        <f t="shared" si="37"/>
        <v>42.047526763748714</v>
      </c>
      <c r="J113" s="24">
        <f t="shared" si="38"/>
        <v>75.056776503523395</v>
      </c>
      <c r="K113" s="21">
        <v>12493875.960000001</v>
      </c>
      <c r="L113" s="21">
        <v>12259136</v>
      </c>
      <c r="M113" s="25">
        <f t="shared" si="39"/>
        <v>1.9148165090916758E-2</v>
      </c>
      <c r="N113" s="10"/>
      <c r="R113" s="2"/>
    </row>
    <row r="114" spans="1:18" ht="15.75" customHeight="1" x14ac:dyDescent="0.25">
      <c r="A114" s="19"/>
      <c r="B114" s="20">
        <f>DATE(2019,2,1)</f>
        <v>43497</v>
      </c>
      <c r="C114" s="21">
        <v>298265</v>
      </c>
      <c r="D114" s="21">
        <v>374858</v>
      </c>
      <c r="E114" s="23">
        <f t="shared" si="35"/>
        <v>-0.20432537120723046</v>
      </c>
      <c r="F114" s="21">
        <f>+C114-132712</f>
        <v>165553</v>
      </c>
      <c r="G114" s="21">
        <f>+D114-169639</f>
        <v>205219</v>
      </c>
      <c r="H114" s="23">
        <f t="shared" si="36"/>
        <v>-0.19328619669718691</v>
      </c>
      <c r="I114" s="24">
        <f t="shared" si="37"/>
        <v>41.072056862186308</v>
      </c>
      <c r="J114" s="24">
        <f t="shared" si="38"/>
        <v>73.996587437255741</v>
      </c>
      <c r="K114" s="21">
        <v>12250357.039999999</v>
      </c>
      <c r="L114" s="21">
        <v>13920480.310000001</v>
      </c>
      <c r="M114" s="25">
        <f t="shared" si="39"/>
        <v>-0.11997598019662019</v>
      </c>
      <c r="N114" s="10"/>
      <c r="R114" s="2"/>
    </row>
    <row r="115" spans="1:18" ht="15.75" customHeight="1" x14ac:dyDescent="0.25">
      <c r="A115" s="19"/>
      <c r="B115" s="20">
        <f>DATE(2019,3,1)</f>
        <v>43525</v>
      </c>
      <c r="C115" s="21">
        <v>375438</v>
      </c>
      <c r="D115" s="21">
        <v>445851</v>
      </c>
      <c r="E115" s="23">
        <f t="shared" si="35"/>
        <v>-0.15792944279591165</v>
      </c>
      <c r="F115" s="21">
        <f>+C115-165623</f>
        <v>209815</v>
      </c>
      <c r="G115" s="21">
        <f>+D115-199421</f>
        <v>246430</v>
      </c>
      <c r="H115" s="23">
        <f t="shared" si="36"/>
        <v>-0.14858174735218926</v>
      </c>
      <c r="I115" s="24">
        <f t="shared" si="37"/>
        <v>42.209042451749688</v>
      </c>
      <c r="J115" s="24">
        <f t="shared" si="38"/>
        <v>75.527862545575871</v>
      </c>
      <c r="K115" s="21">
        <v>15846878.48</v>
      </c>
      <c r="L115" s="21">
        <v>16450979.140000001</v>
      </c>
      <c r="M115" s="25">
        <f t="shared" si="39"/>
        <v>-3.6721258647222386E-2</v>
      </c>
      <c r="N115" s="10"/>
      <c r="R115" s="2"/>
    </row>
    <row r="116" spans="1:18" ht="15.75" customHeight="1" x14ac:dyDescent="0.25">
      <c r="A116" s="19"/>
      <c r="B116" s="20">
        <f>DATE(2019,4,1)</f>
        <v>43556</v>
      </c>
      <c r="C116" s="21">
        <v>314622</v>
      </c>
      <c r="D116" s="21">
        <v>387799</v>
      </c>
      <c r="E116" s="23">
        <f t="shared" si="35"/>
        <v>-0.18869826894860481</v>
      </c>
      <c r="F116" s="21">
        <f>+C116-139138</f>
        <v>175484</v>
      </c>
      <c r="G116" s="21">
        <f>+D116-169315</f>
        <v>218484</v>
      </c>
      <c r="H116" s="23">
        <f t="shared" si="36"/>
        <v>-0.19681075044396842</v>
      </c>
      <c r="I116" s="24">
        <f t="shared" si="37"/>
        <v>40.926923228509132</v>
      </c>
      <c r="J116" s="24">
        <f t="shared" si="38"/>
        <v>73.377119509470944</v>
      </c>
      <c r="K116" s="21">
        <v>12876510.439999999</v>
      </c>
      <c r="L116" s="21">
        <v>14598331.57</v>
      </c>
      <c r="M116" s="25">
        <f t="shared" si="39"/>
        <v>-0.11794643255934766</v>
      </c>
      <c r="N116" s="10"/>
      <c r="R116" s="2"/>
    </row>
    <row r="117" spans="1:18" ht="15.75" customHeight="1" x14ac:dyDescent="0.25">
      <c r="A117" s="19"/>
      <c r="B117" s="20">
        <f>DATE(2019,5,1)</f>
        <v>43586</v>
      </c>
      <c r="C117" s="21">
        <v>338468</v>
      </c>
      <c r="D117" s="21">
        <v>394379</v>
      </c>
      <c r="E117" s="23">
        <f t="shared" si="35"/>
        <v>-0.14176971897590895</v>
      </c>
      <c r="F117" s="21">
        <f>+C117-147365</f>
        <v>191103</v>
      </c>
      <c r="G117" s="21">
        <f>+D117-169906</f>
        <v>224473</v>
      </c>
      <c r="H117" s="23">
        <f t="shared" si="36"/>
        <v>-0.14865930423703519</v>
      </c>
      <c r="I117" s="24">
        <f t="shared" si="37"/>
        <v>42.1897550728577</v>
      </c>
      <c r="J117" s="24">
        <f t="shared" si="38"/>
        <v>74.723484299042923</v>
      </c>
      <c r="K117" s="21">
        <v>14279882.02</v>
      </c>
      <c r="L117" s="21">
        <v>14679216.189999999</v>
      </c>
      <c r="M117" s="25">
        <f t="shared" si="39"/>
        <v>-2.7204052643630964E-2</v>
      </c>
      <c r="N117" s="10"/>
      <c r="R117" s="2"/>
    </row>
    <row r="118" spans="1:18" ht="15.75" customHeight="1" thickBot="1" x14ac:dyDescent="0.3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Top="1" thickBot="1" x14ac:dyDescent="0.3">
      <c r="A119" s="39" t="s">
        <v>14</v>
      </c>
      <c r="B119" s="40"/>
      <c r="C119" s="41">
        <f>SUM(C107:C118)</f>
        <v>3769540</v>
      </c>
      <c r="D119" s="41">
        <f>SUM(D107:D118)</f>
        <v>3981680</v>
      </c>
      <c r="E119" s="280">
        <f>(+C119-D119)/D119</f>
        <v>-5.3279017901991119E-2</v>
      </c>
      <c r="F119" s="41">
        <f>SUM(F107:F118)</f>
        <v>2114752</v>
      </c>
      <c r="G119" s="41">
        <f>SUM(G107:G118)</f>
        <v>2234848</v>
      </c>
      <c r="H119" s="42">
        <f>(+F119-G119)/G119</f>
        <v>-5.3737882844828819E-2</v>
      </c>
      <c r="I119" s="43">
        <f>K119/C119</f>
        <v>39.406955527730176</v>
      </c>
      <c r="J119" s="43">
        <f>K119/F119</f>
        <v>70.242796857503862</v>
      </c>
      <c r="K119" s="41">
        <f>SUM(K107:K118)</f>
        <v>148546095.14000002</v>
      </c>
      <c r="L119" s="41">
        <f>SUM(L107:L118)</f>
        <v>145039795.50999999</v>
      </c>
      <c r="M119" s="44">
        <f>(+K119-L119)/L119</f>
        <v>2.4174741957342857E-2</v>
      </c>
      <c r="N119" s="10"/>
      <c r="R119" s="2"/>
    </row>
    <row r="120" spans="1:18" ht="15.75" customHeight="1" thickTop="1" x14ac:dyDescent="0.2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 x14ac:dyDescent="0.25">
      <c r="A121" s="19" t="s">
        <v>18</v>
      </c>
      <c r="B121" s="20">
        <f>DATE(2018,7,1)</f>
        <v>43282</v>
      </c>
      <c r="C121" s="21">
        <v>413730</v>
      </c>
      <c r="D121" s="21">
        <v>402324</v>
      </c>
      <c r="E121" s="23">
        <f t="shared" ref="E121:E131" si="40">(+C121-D121)/D121</f>
        <v>2.8350284845050259E-2</v>
      </c>
      <c r="F121" s="21">
        <f>+C121-202461</f>
        <v>211269</v>
      </c>
      <c r="G121" s="21">
        <f>+D121-196212</f>
        <v>206112</v>
      </c>
      <c r="H121" s="23">
        <f t="shared" ref="H121:H131" si="41">(+F121-G121)/G121</f>
        <v>2.5020377270610152E-2</v>
      </c>
      <c r="I121" s="24">
        <f t="shared" ref="I121:I131" si="42">K121/C121</f>
        <v>42.608765885964281</v>
      </c>
      <c r="J121" s="24">
        <f t="shared" ref="J121:J131" si="43">K121/F121</f>
        <v>83.441132915856087</v>
      </c>
      <c r="K121" s="21">
        <v>17628524.710000001</v>
      </c>
      <c r="L121" s="21">
        <v>16341217.17</v>
      </c>
      <c r="M121" s="25">
        <f t="shared" ref="M121:M131" si="44">(+K121-L121)/L121</f>
        <v>7.8776723092775655E-2</v>
      </c>
      <c r="N121" s="10"/>
      <c r="R121" s="2"/>
    </row>
    <row r="122" spans="1:18" ht="15.75" customHeight="1" x14ac:dyDescent="0.25">
      <c r="A122" s="19"/>
      <c r="B122" s="20">
        <f>DATE(2018,8,1)</f>
        <v>43313</v>
      </c>
      <c r="C122" s="21">
        <v>405657</v>
      </c>
      <c r="D122" s="21">
        <v>379939</v>
      </c>
      <c r="E122" s="23">
        <f t="shared" si="40"/>
        <v>6.7689813364776974E-2</v>
      </c>
      <c r="F122" s="21">
        <f>+C122-195459</f>
        <v>210198</v>
      </c>
      <c r="G122" s="21">
        <f>+D122-185707</f>
        <v>194232</v>
      </c>
      <c r="H122" s="23">
        <f t="shared" si="41"/>
        <v>8.220066724329668E-2</v>
      </c>
      <c r="I122" s="24">
        <f t="shared" si="42"/>
        <v>43.878100291625685</v>
      </c>
      <c r="J122" s="24">
        <f t="shared" si="43"/>
        <v>84.679485675410803</v>
      </c>
      <c r="K122" s="21">
        <v>17799458.530000001</v>
      </c>
      <c r="L122" s="21">
        <v>15315276.050000001</v>
      </c>
      <c r="M122" s="25">
        <f t="shared" si="44"/>
        <v>0.16220291896077188</v>
      </c>
      <c r="N122" s="10"/>
      <c r="R122" s="2"/>
    </row>
    <row r="123" spans="1:18" ht="15.75" customHeight="1" x14ac:dyDescent="0.25">
      <c r="A123" s="19"/>
      <c r="B123" s="20">
        <f>DATE(2018,9,1)</f>
        <v>43344</v>
      </c>
      <c r="C123" s="21">
        <v>386512</v>
      </c>
      <c r="D123" s="21">
        <v>383853</v>
      </c>
      <c r="E123" s="23">
        <f t="shared" si="40"/>
        <v>6.9271309589869039E-3</v>
      </c>
      <c r="F123" s="21">
        <f>+C123-188889</f>
        <v>197623</v>
      </c>
      <c r="G123" s="21">
        <f>+D123-186182</f>
        <v>197671</v>
      </c>
      <c r="H123" s="23">
        <f t="shared" si="41"/>
        <v>-2.4282772890307634E-4</v>
      </c>
      <c r="I123" s="24">
        <f t="shared" si="42"/>
        <v>42.94741094713747</v>
      </c>
      <c r="J123" s="24">
        <f t="shared" si="43"/>
        <v>83.996749872231462</v>
      </c>
      <c r="K123" s="21">
        <v>16599689.699999999</v>
      </c>
      <c r="L123" s="21">
        <v>16031264.689999999</v>
      </c>
      <c r="M123" s="25">
        <f t="shared" si="44"/>
        <v>3.5457278074547204E-2</v>
      </c>
      <c r="N123" s="10"/>
      <c r="R123" s="2"/>
    </row>
    <row r="124" spans="1:18" ht="15.75" customHeight="1" x14ac:dyDescent="0.25">
      <c r="A124" s="19"/>
      <c r="B124" s="20">
        <f>DATE(2018,10,1)</f>
        <v>43374</v>
      </c>
      <c r="C124" s="21">
        <v>353857</v>
      </c>
      <c r="D124" s="21">
        <v>372927</v>
      </c>
      <c r="E124" s="23">
        <f t="shared" si="40"/>
        <v>-5.1136013214382436E-2</v>
      </c>
      <c r="F124" s="21">
        <f>+C124-169336</f>
        <v>184521</v>
      </c>
      <c r="G124" s="21">
        <f>+D124-185932</f>
        <v>186995</v>
      </c>
      <c r="H124" s="23">
        <f t="shared" si="41"/>
        <v>-1.3230300275408433E-2</v>
      </c>
      <c r="I124" s="24">
        <f t="shared" si="42"/>
        <v>42.600034901104124</v>
      </c>
      <c r="J124" s="24">
        <f t="shared" si="43"/>
        <v>81.694335875049461</v>
      </c>
      <c r="K124" s="21">
        <v>15074320.550000001</v>
      </c>
      <c r="L124" s="21">
        <v>15264818.060000001</v>
      </c>
      <c r="M124" s="25">
        <f t="shared" si="44"/>
        <v>-1.2479513954979937E-2</v>
      </c>
      <c r="N124" s="10"/>
      <c r="R124" s="2"/>
    </row>
    <row r="125" spans="1:18" ht="15.75" customHeight="1" x14ac:dyDescent="0.25">
      <c r="A125" s="19"/>
      <c r="B125" s="20">
        <f>DATE(2018,11,1)</f>
        <v>43405</v>
      </c>
      <c r="C125" s="21">
        <v>343012</v>
      </c>
      <c r="D125" s="21">
        <v>350531</v>
      </c>
      <c r="E125" s="23">
        <f t="shared" si="40"/>
        <v>-2.1450313952260998E-2</v>
      </c>
      <c r="F125" s="21">
        <f>+C125-162356</f>
        <v>180656</v>
      </c>
      <c r="G125" s="21">
        <f>+D125-173337</f>
        <v>177194</v>
      </c>
      <c r="H125" s="23">
        <f t="shared" si="41"/>
        <v>1.9537907604094948E-2</v>
      </c>
      <c r="I125" s="24">
        <f t="shared" si="42"/>
        <v>43.195962735997576</v>
      </c>
      <c r="J125" s="24">
        <f t="shared" si="43"/>
        <v>82.016282714108584</v>
      </c>
      <c r="K125" s="21">
        <v>14816733.57</v>
      </c>
      <c r="L125" s="21">
        <v>14781579.57</v>
      </c>
      <c r="M125" s="25">
        <f t="shared" si="44"/>
        <v>2.3782302719086196E-3</v>
      </c>
      <c r="N125" s="10"/>
      <c r="R125" s="2"/>
    </row>
    <row r="126" spans="1:18" ht="15.75" customHeight="1" x14ac:dyDescent="0.25">
      <c r="A126" s="19"/>
      <c r="B126" s="20">
        <f>DATE(2018,12,1)</f>
        <v>43435</v>
      </c>
      <c r="C126" s="21">
        <v>404087</v>
      </c>
      <c r="D126" s="21">
        <v>390264</v>
      </c>
      <c r="E126" s="23">
        <f t="shared" si="40"/>
        <v>3.5419613389910419E-2</v>
      </c>
      <c r="F126" s="21">
        <f>+C126-195394</f>
        <v>208693</v>
      </c>
      <c r="G126" s="21">
        <f>+D126-192232</f>
        <v>198032</v>
      </c>
      <c r="H126" s="23">
        <f t="shared" si="41"/>
        <v>5.383473378039913E-2</v>
      </c>
      <c r="I126" s="24">
        <f t="shared" si="42"/>
        <v>41.810716652602032</v>
      </c>
      <c r="J126" s="24">
        <f t="shared" si="43"/>
        <v>80.957037658186906</v>
      </c>
      <c r="K126" s="21">
        <v>16895167.059999999</v>
      </c>
      <c r="L126" s="21">
        <v>16446628.41</v>
      </c>
      <c r="M126" s="25">
        <f t="shared" si="44"/>
        <v>2.7272376977111899E-2</v>
      </c>
      <c r="N126" s="10"/>
      <c r="R126" s="2"/>
    </row>
    <row r="127" spans="1:18" ht="15.75" customHeight="1" x14ac:dyDescent="0.25">
      <c r="A127" s="19"/>
      <c r="B127" s="20">
        <f>DATE(2019,1,1)</f>
        <v>43466</v>
      </c>
      <c r="C127" s="21">
        <v>340841</v>
      </c>
      <c r="D127" s="21">
        <v>343731</v>
      </c>
      <c r="E127" s="23">
        <f t="shared" si="40"/>
        <v>-8.4077374458515521E-3</v>
      </c>
      <c r="F127" s="21">
        <f>+C127-167445</f>
        <v>173396</v>
      </c>
      <c r="G127" s="21">
        <f>+D127-170444</f>
        <v>173287</v>
      </c>
      <c r="H127" s="23">
        <f t="shared" si="41"/>
        <v>6.2901429420556649E-4</v>
      </c>
      <c r="I127" s="24">
        <f t="shared" si="42"/>
        <v>41.362925410968749</v>
      </c>
      <c r="J127" s="24">
        <f t="shared" si="43"/>
        <v>81.306263466285259</v>
      </c>
      <c r="K127" s="21">
        <v>14098180.859999999</v>
      </c>
      <c r="L127" s="21">
        <v>15056651.970000001</v>
      </c>
      <c r="M127" s="25">
        <f t="shared" si="44"/>
        <v>-6.365765190759079E-2</v>
      </c>
      <c r="N127" s="10"/>
      <c r="R127" s="2"/>
    </row>
    <row r="128" spans="1:18" ht="15.75" customHeight="1" x14ac:dyDescent="0.25">
      <c r="A128" s="19"/>
      <c r="B128" s="20">
        <f>DATE(2019,2,1)</f>
        <v>43497</v>
      </c>
      <c r="C128" s="21">
        <v>343444</v>
      </c>
      <c r="D128" s="21">
        <v>348132</v>
      </c>
      <c r="E128" s="23">
        <f t="shared" si="40"/>
        <v>-1.3466156515344755E-2</v>
      </c>
      <c r="F128" s="21">
        <f>+C128-166468</f>
        <v>176976</v>
      </c>
      <c r="G128" s="21">
        <f>+D128-170486</f>
        <v>177646</v>
      </c>
      <c r="H128" s="23">
        <f t="shared" si="41"/>
        <v>-3.7715456582191548E-3</v>
      </c>
      <c r="I128" s="24">
        <f t="shared" si="42"/>
        <v>43.484263286008783</v>
      </c>
      <c r="J128" s="24">
        <f t="shared" si="43"/>
        <v>84.386636154054784</v>
      </c>
      <c r="K128" s="21">
        <v>14934409.32</v>
      </c>
      <c r="L128" s="21">
        <v>15283647.060000001</v>
      </c>
      <c r="M128" s="25">
        <f t="shared" si="44"/>
        <v>-2.2850419054364125E-2</v>
      </c>
      <c r="N128" s="10"/>
      <c r="R128" s="2"/>
    </row>
    <row r="129" spans="1:18" ht="15.75" customHeight="1" x14ac:dyDescent="0.25">
      <c r="A129" s="19"/>
      <c r="B129" s="20">
        <f>DATE(2019,3,1)</f>
        <v>43525</v>
      </c>
      <c r="C129" s="21">
        <v>433827</v>
      </c>
      <c r="D129" s="21">
        <v>425327</v>
      </c>
      <c r="E129" s="23">
        <f t="shared" si="40"/>
        <v>1.9984623595492409E-2</v>
      </c>
      <c r="F129" s="21">
        <f>+C129-215065</f>
        <v>218762</v>
      </c>
      <c r="G129" s="21">
        <f>+D129-208257</f>
        <v>217070</v>
      </c>
      <c r="H129" s="23">
        <f t="shared" si="41"/>
        <v>7.7947205970424283E-3</v>
      </c>
      <c r="I129" s="24">
        <f t="shared" si="42"/>
        <v>43.030317845592826</v>
      </c>
      <c r="J129" s="24">
        <f t="shared" si="43"/>
        <v>85.333438622795541</v>
      </c>
      <c r="K129" s="21">
        <v>18667713.699999999</v>
      </c>
      <c r="L129" s="21">
        <v>18192792.949999999</v>
      </c>
      <c r="M129" s="25">
        <f t="shared" si="44"/>
        <v>2.610488402221936E-2</v>
      </c>
      <c r="N129" s="10"/>
      <c r="R129" s="2"/>
    </row>
    <row r="130" spans="1:18" ht="15.75" customHeight="1" x14ac:dyDescent="0.25">
      <c r="A130" s="19"/>
      <c r="B130" s="20">
        <f>DATE(2019,4,1)</f>
        <v>43556</v>
      </c>
      <c r="C130" s="21">
        <v>348018</v>
      </c>
      <c r="D130" s="21">
        <v>373488</v>
      </c>
      <c r="E130" s="23">
        <f t="shared" si="40"/>
        <v>-6.8194962087135325E-2</v>
      </c>
      <c r="F130" s="21">
        <f>+C130-170199</f>
        <v>177819</v>
      </c>
      <c r="G130" s="21">
        <f>+D130-185696</f>
        <v>187792</v>
      </c>
      <c r="H130" s="23">
        <f t="shared" si="41"/>
        <v>-5.3106628610377439E-2</v>
      </c>
      <c r="I130" s="24">
        <f t="shared" si="42"/>
        <v>45.638738082512972</v>
      </c>
      <c r="J130" s="24">
        <f t="shared" si="43"/>
        <v>89.321739240463614</v>
      </c>
      <c r="K130" s="21">
        <v>15883102.35</v>
      </c>
      <c r="L130" s="21">
        <v>16406098.98</v>
      </c>
      <c r="M130" s="25">
        <f t="shared" si="44"/>
        <v>-3.1878183268159263E-2</v>
      </c>
      <c r="N130" s="10"/>
      <c r="R130" s="2"/>
    </row>
    <row r="131" spans="1:18" ht="15.75" customHeight="1" x14ac:dyDescent="0.25">
      <c r="A131" s="19"/>
      <c r="B131" s="20">
        <f>DATE(2019,5,1)</f>
        <v>43586</v>
      </c>
      <c r="C131" s="21">
        <v>370304</v>
      </c>
      <c r="D131" s="21">
        <v>380057</v>
      </c>
      <c r="E131" s="23">
        <f t="shared" si="40"/>
        <v>-2.5661940182656811E-2</v>
      </c>
      <c r="F131" s="21">
        <f>+C131-180250</f>
        <v>190054</v>
      </c>
      <c r="G131" s="21">
        <f>+D131-186127</f>
        <v>193930</v>
      </c>
      <c r="H131" s="23">
        <f t="shared" si="41"/>
        <v>-1.9986593100603311E-2</v>
      </c>
      <c r="I131" s="24">
        <f t="shared" si="42"/>
        <v>45.679881826823369</v>
      </c>
      <c r="J131" s="24">
        <f t="shared" si="43"/>
        <v>89.003351468529999</v>
      </c>
      <c r="K131" s="21">
        <v>16915442.960000001</v>
      </c>
      <c r="L131" s="21">
        <v>16378583.08</v>
      </c>
      <c r="M131" s="25">
        <f t="shared" si="44"/>
        <v>3.2778163860557881E-2</v>
      </c>
      <c r="N131" s="10"/>
      <c r="R131" s="2"/>
    </row>
    <row r="132" spans="1:18" ht="15.75" customHeight="1" thickBot="1" x14ac:dyDescent="0.3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Top="1" thickBot="1" x14ac:dyDescent="0.3">
      <c r="A133" s="39" t="s">
        <v>14</v>
      </c>
      <c r="B133" s="40"/>
      <c r="C133" s="41">
        <f>SUM(C121:C132)</f>
        <v>4143289</v>
      </c>
      <c r="D133" s="41">
        <f>SUM(D121:D132)</f>
        <v>4150573</v>
      </c>
      <c r="E133" s="280">
        <f>(+C133-D133)/D133</f>
        <v>-1.7549384145273436E-3</v>
      </c>
      <c r="F133" s="41">
        <f>SUM(F121:F132)</f>
        <v>2129967</v>
      </c>
      <c r="G133" s="41">
        <f>SUM(G121:G132)</f>
        <v>2109961</v>
      </c>
      <c r="H133" s="42">
        <f>(+F133-G133)/G133</f>
        <v>9.4816918416975472E-3</v>
      </c>
      <c r="I133" s="43">
        <f>K133/C133</f>
        <v>43.277874970826318</v>
      </c>
      <c r="J133" s="43">
        <f>K133/F133</f>
        <v>84.185690815867105</v>
      </c>
      <c r="K133" s="41">
        <f>SUM(K121:K132)</f>
        <v>179312743.31</v>
      </c>
      <c r="L133" s="41">
        <f>SUM(L121:L132)</f>
        <v>175498557.98999998</v>
      </c>
      <c r="M133" s="44">
        <f>(+K133-L133)/L133</f>
        <v>2.1733428261087807E-2</v>
      </c>
      <c r="N133" s="10"/>
      <c r="R133" s="2"/>
    </row>
    <row r="134" spans="1:18" ht="15.75" customHeight="1" thickTop="1" x14ac:dyDescent="0.2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 x14ac:dyDescent="0.25">
      <c r="A135" s="19" t="s">
        <v>58</v>
      </c>
      <c r="B135" s="20">
        <f>DATE(2018,7,1)</f>
        <v>43282</v>
      </c>
      <c r="C135" s="21">
        <v>437171</v>
      </c>
      <c r="D135" s="21">
        <v>487621</v>
      </c>
      <c r="E135" s="23">
        <f t="shared" ref="E135:E145" si="45">(+C135-D135)/D135</f>
        <v>-0.10346149981235427</v>
      </c>
      <c r="F135" s="21">
        <f>+C135-202695</f>
        <v>234476</v>
      </c>
      <c r="G135" s="21">
        <f>+D135-237847</f>
        <v>249774</v>
      </c>
      <c r="H135" s="23">
        <f t="shared" ref="H135:H145" si="46">(+F135-G135)/G135</f>
        <v>-6.1247367620328778E-2</v>
      </c>
      <c r="I135" s="24">
        <f t="shared" ref="I135:I145" si="47">K135/C135</f>
        <v>44.80435008269076</v>
      </c>
      <c r="J135" s="24">
        <f t="shared" ref="J135:J145" si="48">K135/F135</f>
        <v>83.535895059622305</v>
      </c>
      <c r="K135" s="21">
        <v>19587162.530000001</v>
      </c>
      <c r="L135" s="21">
        <v>19804673.68</v>
      </c>
      <c r="M135" s="25">
        <f t="shared" ref="M135:M145" si="49">(+K135-L135)/L135</f>
        <v>-1.0982819182709125E-2</v>
      </c>
      <c r="N135" s="10"/>
      <c r="R135" s="2"/>
    </row>
    <row r="136" spans="1:18" ht="15.75" customHeight="1" x14ac:dyDescent="0.25">
      <c r="A136" s="19"/>
      <c r="B136" s="20">
        <f>DATE(2018,8,1)</f>
        <v>43313</v>
      </c>
      <c r="C136" s="21">
        <v>428435</v>
      </c>
      <c r="D136" s="21">
        <v>450476</v>
      </c>
      <c r="E136" s="23">
        <f t="shared" si="45"/>
        <v>-4.8928244789955513E-2</v>
      </c>
      <c r="F136" s="21">
        <f>+C136-198491</f>
        <v>229944</v>
      </c>
      <c r="G136" s="21">
        <f>+D136-212152</f>
        <v>238324</v>
      </c>
      <c r="H136" s="23">
        <f t="shared" si="46"/>
        <v>-3.5162216142730067E-2</v>
      </c>
      <c r="I136" s="24">
        <f t="shared" si="47"/>
        <v>44.517808909169418</v>
      </c>
      <c r="J136" s="24">
        <f t="shared" si="48"/>
        <v>82.946228038131025</v>
      </c>
      <c r="K136" s="21">
        <v>19072987.460000001</v>
      </c>
      <c r="L136" s="21">
        <v>18591700.170000002</v>
      </c>
      <c r="M136" s="25">
        <f t="shared" si="49"/>
        <v>2.5887212336643393E-2</v>
      </c>
      <c r="N136" s="10"/>
      <c r="R136" s="2"/>
    </row>
    <row r="137" spans="1:18" ht="15.75" customHeight="1" x14ac:dyDescent="0.25">
      <c r="A137" s="19"/>
      <c r="B137" s="20">
        <f>DATE(2018,9,1)</f>
        <v>43344</v>
      </c>
      <c r="C137" s="21">
        <v>430488</v>
      </c>
      <c r="D137" s="21">
        <v>460463</v>
      </c>
      <c r="E137" s="23">
        <f t="shared" si="45"/>
        <v>-6.509752140780041E-2</v>
      </c>
      <c r="F137" s="21">
        <f>+C137-198602</f>
        <v>231886</v>
      </c>
      <c r="G137" s="21">
        <f>+D137-224219</f>
        <v>236244</v>
      </c>
      <c r="H137" s="23">
        <f t="shared" si="46"/>
        <v>-1.8447029342544149E-2</v>
      </c>
      <c r="I137" s="24">
        <f t="shared" si="47"/>
        <v>42.261882909628142</v>
      </c>
      <c r="J137" s="24">
        <f t="shared" si="48"/>
        <v>78.457662170204316</v>
      </c>
      <c r="K137" s="21">
        <v>18193233.449999999</v>
      </c>
      <c r="L137" s="21">
        <v>18717604.129999999</v>
      </c>
      <c r="M137" s="25">
        <f t="shared" si="49"/>
        <v>-2.8014839739000277E-2</v>
      </c>
      <c r="N137" s="10"/>
      <c r="R137" s="2"/>
    </row>
    <row r="138" spans="1:18" ht="15.75" customHeight="1" x14ac:dyDescent="0.25">
      <c r="A138" s="19"/>
      <c r="B138" s="20">
        <f>DATE(2018,10,1)</f>
        <v>43374</v>
      </c>
      <c r="C138" s="21">
        <v>407351</v>
      </c>
      <c r="D138" s="21">
        <v>417011</v>
      </c>
      <c r="E138" s="23">
        <f t="shared" si="45"/>
        <v>-2.316485656253672E-2</v>
      </c>
      <c r="F138" s="21">
        <f>+C138-184649</f>
        <v>222702</v>
      </c>
      <c r="G138" s="21">
        <f>+D138-199528</f>
        <v>217483</v>
      </c>
      <c r="H138" s="23">
        <f t="shared" si="46"/>
        <v>2.3997277948161467E-2</v>
      </c>
      <c r="I138" s="24">
        <f t="shared" si="47"/>
        <v>41.140794425446359</v>
      </c>
      <c r="J138" s="24">
        <f t="shared" si="48"/>
        <v>75.251878070246335</v>
      </c>
      <c r="K138" s="21">
        <v>16758743.75</v>
      </c>
      <c r="L138" s="21">
        <v>17765294.359999999</v>
      </c>
      <c r="M138" s="25">
        <f t="shared" si="49"/>
        <v>-5.6658256801324365E-2</v>
      </c>
      <c r="N138" s="10"/>
      <c r="R138" s="2"/>
    </row>
    <row r="139" spans="1:18" ht="15.75" customHeight="1" x14ac:dyDescent="0.25">
      <c r="A139" s="19"/>
      <c r="B139" s="20">
        <f>DATE(2018,11,1)</f>
        <v>43405</v>
      </c>
      <c r="C139" s="21">
        <v>411941</v>
      </c>
      <c r="D139" s="21">
        <v>418322</v>
      </c>
      <c r="E139" s="23">
        <f t="shared" si="45"/>
        <v>-1.5253799704533827E-2</v>
      </c>
      <c r="F139" s="21">
        <f>+C139-188303</f>
        <v>223638</v>
      </c>
      <c r="G139" s="21">
        <f>+D139-203115</f>
        <v>215207</v>
      </c>
      <c r="H139" s="23">
        <f t="shared" si="46"/>
        <v>3.9176234973769437E-2</v>
      </c>
      <c r="I139" s="24">
        <f t="shared" si="47"/>
        <v>47.356731813536406</v>
      </c>
      <c r="J139" s="24">
        <f t="shared" si="48"/>
        <v>87.231058496319946</v>
      </c>
      <c r="K139" s="21">
        <v>19508179.460000001</v>
      </c>
      <c r="L139" s="21">
        <v>17634313.489999998</v>
      </c>
      <c r="M139" s="25">
        <f t="shared" si="49"/>
        <v>0.10626248484595828</v>
      </c>
      <c r="N139" s="10"/>
      <c r="R139" s="2"/>
    </row>
    <row r="140" spans="1:18" ht="15.75" customHeight="1" x14ac:dyDescent="0.25">
      <c r="A140" s="19"/>
      <c r="B140" s="20">
        <f>DATE(2018,12,1)</f>
        <v>43435</v>
      </c>
      <c r="C140" s="21">
        <v>472920</v>
      </c>
      <c r="D140" s="21">
        <v>463864</v>
      </c>
      <c r="E140" s="23">
        <f t="shared" si="45"/>
        <v>1.9522963627270063E-2</v>
      </c>
      <c r="F140" s="21">
        <f>+C140-218118</f>
        <v>254802</v>
      </c>
      <c r="G140" s="21">
        <f>+D140-225145</f>
        <v>238719</v>
      </c>
      <c r="H140" s="23">
        <f t="shared" si="46"/>
        <v>6.7372098576150202E-2</v>
      </c>
      <c r="I140" s="24">
        <f t="shared" si="47"/>
        <v>43.472668908060555</v>
      </c>
      <c r="J140" s="24">
        <f t="shared" si="48"/>
        <v>80.686551047479995</v>
      </c>
      <c r="K140" s="21">
        <v>20559094.579999998</v>
      </c>
      <c r="L140" s="21">
        <v>19260849.600000001</v>
      </c>
      <c r="M140" s="25">
        <f t="shared" si="49"/>
        <v>6.7403308107446963E-2</v>
      </c>
      <c r="N140" s="10"/>
      <c r="R140" s="2"/>
    </row>
    <row r="141" spans="1:18" ht="15.75" customHeight="1" x14ac:dyDescent="0.25">
      <c r="A141" s="19"/>
      <c r="B141" s="20">
        <f>DATE(2019,1,1)</f>
        <v>43466</v>
      </c>
      <c r="C141" s="21">
        <v>350517</v>
      </c>
      <c r="D141" s="21">
        <v>394135</v>
      </c>
      <c r="E141" s="23">
        <f t="shared" si="45"/>
        <v>-0.11066766463267662</v>
      </c>
      <c r="F141" s="21">
        <f>+C141-164493</f>
        <v>186024</v>
      </c>
      <c r="G141" s="21">
        <f>+D141-197319</f>
        <v>196816</v>
      </c>
      <c r="H141" s="23">
        <f t="shared" si="46"/>
        <v>-5.4832940411348674E-2</v>
      </c>
      <c r="I141" s="24">
        <f t="shared" si="47"/>
        <v>45.875594136660993</v>
      </c>
      <c r="J141" s="24">
        <f t="shared" si="48"/>
        <v>86.441403421063953</v>
      </c>
      <c r="K141" s="21">
        <v>16080175.630000001</v>
      </c>
      <c r="L141" s="21">
        <v>16549428.66</v>
      </c>
      <c r="M141" s="25">
        <f t="shared" si="49"/>
        <v>-2.8354636262107633E-2</v>
      </c>
      <c r="N141" s="10"/>
      <c r="R141" s="2"/>
    </row>
    <row r="142" spans="1:18" ht="15.75" customHeight="1" x14ac:dyDescent="0.25">
      <c r="A142" s="19"/>
      <c r="B142" s="20">
        <f>DATE(2019,2,1)</f>
        <v>43497</v>
      </c>
      <c r="C142" s="21">
        <v>392165</v>
      </c>
      <c r="D142" s="21">
        <v>427928</v>
      </c>
      <c r="E142" s="23">
        <f t="shared" si="45"/>
        <v>-8.3572470135162918E-2</v>
      </c>
      <c r="F142" s="21">
        <f>+C142-179856</f>
        <v>212309</v>
      </c>
      <c r="G142" s="21">
        <f>+D142-211910</f>
        <v>216018</v>
      </c>
      <c r="H142" s="23">
        <f t="shared" si="46"/>
        <v>-1.716986547417345E-2</v>
      </c>
      <c r="I142" s="24">
        <f t="shared" si="47"/>
        <v>44.507027093187823</v>
      </c>
      <c r="J142" s="24">
        <f t="shared" si="48"/>
        <v>82.210826107230503</v>
      </c>
      <c r="K142" s="21">
        <v>17454098.280000001</v>
      </c>
      <c r="L142" s="21">
        <v>17946175.879999999</v>
      </c>
      <c r="M142" s="25">
        <f t="shared" si="49"/>
        <v>-2.7419635430431199E-2</v>
      </c>
      <c r="N142" s="10"/>
      <c r="R142" s="2"/>
    </row>
    <row r="143" spans="1:18" ht="15.75" customHeight="1" x14ac:dyDescent="0.25">
      <c r="A143" s="19"/>
      <c r="B143" s="20">
        <f>DATE(2019,3,1)</f>
        <v>43525</v>
      </c>
      <c r="C143" s="21">
        <v>469490</v>
      </c>
      <c r="D143" s="21">
        <v>524386</v>
      </c>
      <c r="E143" s="23">
        <f t="shared" si="45"/>
        <v>-0.10468624257703295</v>
      </c>
      <c r="F143" s="21">
        <f>+C143-217591</f>
        <v>251899</v>
      </c>
      <c r="G143" s="21">
        <f>+D143-260974</f>
        <v>263412</v>
      </c>
      <c r="H143" s="23">
        <f t="shared" si="46"/>
        <v>-4.3707196331222574E-2</v>
      </c>
      <c r="I143" s="24">
        <f t="shared" si="47"/>
        <v>44.408252316343265</v>
      </c>
      <c r="J143" s="24">
        <f t="shared" si="48"/>
        <v>82.76821416520113</v>
      </c>
      <c r="K143" s="21">
        <v>20849230.379999999</v>
      </c>
      <c r="L143" s="21">
        <v>22098734.530000001</v>
      </c>
      <c r="M143" s="25">
        <f t="shared" si="49"/>
        <v>-5.6541886971117984E-2</v>
      </c>
      <c r="N143" s="10"/>
      <c r="R143" s="2"/>
    </row>
    <row r="144" spans="1:18" ht="15.75" customHeight="1" x14ac:dyDescent="0.25">
      <c r="A144" s="19"/>
      <c r="B144" s="20">
        <f>DATE(2019,4,1)</f>
        <v>43556</v>
      </c>
      <c r="C144" s="21">
        <v>370104</v>
      </c>
      <c r="D144" s="21">
        <v>423715</v>
      </c>
      <c r="E144" s="23">
        <f t="shared" si="45"/>
        <v>-0.12652608475036287</v>
      </c>
      <c r="F144" s="21">
        <f>+C144-169075</f>
        <v>201029</v>
      </c>
      <c r="G144" s="21">
        <f>+D144-207242</f>
        <v>216473</v>
      </c>
      <c r="H144" s="23">
        <f t="shared" si="46"/>
        <v>-7.1343770354732466E-2</v>
      </c>
      <c r="I144" s="24">
        <f t="shared" si="47"/>
        <v>47.771623030283379</v>
      </c>
      <c r="J144" s="24">
        <f t="shared" si="48"/>
        <v>87.949841913355783</v>
      </c>
      <c r="K144" s="21">
        <v>17680468.77</v>
      </c>
      <c r="L144" s="21">
        <v>18655559.16</v>
      </c>
      <c r="M144" s="25">
        <f t="shared" si="49"/>
        <v>-5.2268087042425623E-2</v>
      </c>
      <c r="N144" s="10"/>
      <c r="R144" s="2"/>
    </row>
    <row r="145" spans="1:18" ht="15.75" customHeight="1" x14ac:dyDescent="0.25">
      <c r="A145" s="19"/>
      <c r="B145" s="20">
        <f>DATE(2019,5,1)</f>
        <v>43586</v>
      </c>
      <c r="C145" s="21">
        <v>406564</v>
      </c>
      <c r="D145" s="21">
        <v>416487</v>
      </c>
      <c r="E145" s="23">
        <f t="shared" si="45"/>
        <v>-2.3825473544192257E-2</v>
      </c>
      <c r="F145" s="21">
        <f>+C145-183621</f>
        <v>222943</v>
      </c>
      <c r="G145" s="21">
        <f>+D145-196140</f>
        <v>220347</v>
      </c>
      <c r="H145" s="23">
        <f t="shared" si="46"/>
        <v>1.1781417491502039E-2</v>
      </c>
      <c r="I145" s="24">
        <f t="shared" si="47"/>
        <v>44.014841328794482</v>
      </c>
      <c r="J145" s="24">
        <f t="shared" si="48"/>
        <v>80.266480445674446</v>
      </c>
      <c r="K145" s="21">
        <v>17894849.949999999</v>
      </c>
      <c r="L145" s="21">
        <v>18044283.859999999</v>
      </c>
      <c r="M145" s="25">
        <f t="shared" si="49"/>
        <v>-8.2815095993507698E-3</v>
      </c>
      <c r="N145" s="10"/>
      <c r="R145" s="2"/>
    </row>
    <row r="146" spans="1:18" ht="15.75" customHeight="1" thickBot="1" x14ac:dyDescent="0.3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Top="1" thickBot="1" x14ac:dyDescent="0.3">
      <c r="A147" s="39" t="s">
        <v>14</v>
      </c>
      <c r="B147" s="40"/>
      <c r="C147" s="41">
        <f>SUM(C135:C146)</f>
        <v>4577146</v>
      </c>
      <c r="D147" s="41">
        <f>SUM(D135:D146)</f>
        <v>4884408</v>
      </c>
      <c r="E147" s="280">
        <f>(+C147-D147)/D147</f>
        <v>-6.2906702306605014E-2</v>
      </c>
      <c r="F147" s="41">
        <f>SUM(F135:F146)</f>
        <v>2471652</v>
      </c>
      <c r="G147" s="41">
        <f>SUM(G135:G146)</f>
        <v>2508817</v>
      </c>
      <c r="H147" s="42">
        <f>(+F147-G147)/G147</f>
        <v>-1.4813754849397147E-2</v>
      </c>
      <c r="I147" s="43">
        <f>K147/C147</f>
        <v>44.490218192734069</v>
      </c>
      <c r="J147" s="43">
        <f>K147/F147</f>
        <v>82.389520951978668</v>
      </c>
      <c r="K147" s="41">
        <f>SUM(K135:K146)</f>
        <v>203638224.23999998</v>
      </c>
      <c r="L147" s="41">
        <f>SUM(L135:L146)</f>
        <v>205068617.51999998</v>
      </c>
      <c r="M147" s="44">
        <f>(+K147-L147)/L147</f>
        <v>-6.9751934610886891E-3</v>
      </c>
      <c r="N147" s="10"/>
      <c r="R147" s="2"/>
    </row>
    <row r="148" spans="1:18" ht="15.75" customHeight="1" thickTop="1" x14ac:dyDescent="0.2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 x14ac:dyDescent="0.25">
      <c r="A149" s="19" t="s">
        <v>59</v>
      </c>
      <c r="B149" s="20">
        <f>DATE(2018,7,1)</f>
        <v>43282</v>
      </c>
      <c r="C149" s="21">
        <v>63934</v>
      </c>
      <c r="D149" s="21">
        <v>62927</v>
      </c>
      <c r="E149" s="23">
        <f t="shared" ref="E149:E159" si="50">(+C149-D149)/D149</f>
        <v>1.6002669760198325E-2</v>
      </c>
      <c r="F149" s="21">
        <f>+C149-30110</f>
        <v>33824</v>
      </c>
      <c r="G149" s="21">
        <f>+D149-30201</f>
        <v>32726</v>
      </c>
      <c r="H149" s="23">
        <f t="shared" ref="H149:H159" si="51">(+F149-G149)/G149</f>
        <v>3.3551304772963392E-2</v>
      </c>
      <c r="I149" s="24">
        <f t="shared" ref="I149:I159" si="52">K149/C149</f>
        <v>44.104667156755404</v>
      </c>
      <c r="J149" s="24">
        <f t="shared" ref="J149:J159" si="53">K149/F149</f>
        <v>83.366479127246933</v>
      </c>
      <c r="K149" s="21">
        <v>2819787.79</v>
      </c>
      <c r="L149" s="21">
        <v>2929610.63</v>
      </c>
      <c r="M149" s="25">
        <f t="shared" ref="M149:M159" si="54">(+K149-L149)/L149</f>
        <v>-3.748717965294926E-2</v>
      </c>
      <c r="N149" s="10"/>
      <c r="R149" s="2"/>
    </row>
    <row r="150" spans="1:18" ht="15" customHeight="1" x14ac:dyDescent="0.25">
      <c r="A150" s="19"/>
      <c r="B150" s="20">
        <f>DATE(2018,8,1)</f>
        <v>43313</v>
      </c>
      <c r="C150" s="21">
        <v>61004</v>
      </c>
      <c r="D150" s="21">
        <v>58528</v>
      </c>
      <c r="E150" s="23">
        <f t="shared" si="50"/>
        <v>4.2304537998906509E-2</v>
      </c>
      <c r="F150" s="21">
        <f>+C150-29259</f>
        <v>31745</v>
      </c>
      <c r="G150" s="21">
        <f>+D150-27538</f>
        <v>30990</v>
      </c>
      <c r="H150" s="23">
        <f t="shared" si="51"/>
        <v>2.436269764440142E-2</v>
      </c>
      <c r="I150" s="24">
        <f t="shared" si="52"/>
        <v>45.564104157104452</v>
      </c>
      <c r="J150" s="24">
        <f t="shared" si="53"/>
        <v>87.560012915419748</v>
      </c>
      <c r="K150" s="21">
        <v>2779592.61</v>
      </c>
      <c r="L150" s="21">
        <v>2672799.7599999998</v>
      </c>
      <c r="M150" s="25">
        <f t="shared" si="54"/>
        <v>3.9955424868790057E-2</v>
      </c>
      <c r="N150" s="10"/>
      <c r="R150" s="2"/>
    </row>
    <row r="151" spans="1:18" ht="15" customHeight="1" x14ac:dyDescent="0.25">
      <c r="A151" s="19"/>
      <c r="B151" s="20">
        <f>DATE(2018,9,1)</f>
        <v>43344</v>
      </c>
      <c r="C151" s="21">
        <v>57391</v>
      </c>
      <c r="D151" s="21">
        <v>59418</v>
      </c>
      <c r="E151" s="23">
        <f t="shared" si="50"/>
        <v>-3.4114241475647109E-2</v>
      </c>
      <c r="F151" s="21">
        <f>+C151-27760</f>
        <v>29631</v>
      </c>
      <c r="G151" s="21">
        <f>+D151-28421</f>
        <v>30997</v>
      </c>
      <c r="H151" s="23">
        <f t="shared" si="51"/>
        <v>-4.4068780849759653E-2</v>
      </c>
      <c r="I151" s="24">
        <f t="shared" si="52"/>
        <v>45.601388196755586</v>
      </c>
      <c r="J151" s="24">
        <f t="shared" si="53"/>
        <v>88.323352907428031</v>
      </c>
      <c r="K151" s="21">
        <v>2617109.27</v>
      </c>
      <c r="L151" s="21">
        <v>2764418.67</v>
      </c>
      <c r="M151" s="25">
        <f t="shared" si="54"/>
        <v>-5.3287659209738991E-2</v>
      </c>
      <c r="N151" s="10"/>
      <c r="R151" s="2"/>
    </row>
    <row r="152" spans="1:18" ht="15" customHeight="1" x14ac:dyDescent="0.25">
      <c r="A152" s="19"/>
      <c r="B152" s="20">
        <f>DATE(2018,10,1)</f>
        <v>43374</v>
      </c>
      <c r="C152" s="21">
        <v>54970</v>
      </c>
      <c r="D152" s="21">
        <v>52864</v>
      </c>
      <c r="E152" s="23">
        <f t="shared" si="50"/>
        <v>3.9838075060532691E-2</v>
      </c>
      <c r="F152" s="21">
        <f>+C152-26236</f>
        <v>28734</v>
      </c>
      <c r="G152" s="21">
        <f>+D152-24998</f>
        <v>27866</v>
      </c>
      <c r="H152" s="23">
        <f t="shared" si="51"/>
        <v>3.1149070551927078E-2</v>
      </c>
      <c r="I152" s="24">
        <f t="shared" si="52"/>
        <v>46.124502092050207</v>
      </c>
      <c r="J152" s="24">
        <f t="shared" si="53"/>
        <v>88.239155008004445</v>
      </c>
      <c r="K152" s="21">
        <v>2535463.88</v>
      </c>
      <c r="L152" s="21">
        <v>2564041.46</v>
      </c>
      <c r="M152" s="25">
        <f t="shared" si="54"/>
        <v>-1.1145521804471942E-2</v>
      </c>
      <c r="N152" s="10"/>
      <c r="R152" s="2"/>
    </row>
    <row r="153" spans="1:18" ht="15" customHeight="1" x14ac:dyDescent="0.25">
      <c r="A153" s="19"/>
      <c r="B153" s="20">
        <f>DATE(2018,11,1)</f>
        <v>43405</v>
      </c>
      <c r="C153" s="21">
        <v>49028</v>
      </c>
      <c r="D153" s="21">
        <v>54003</v>
      </c>
      <c r="E153" s="23">
        <f t="shared" si="50"/>
        <v>-9.212451160120734E-2</v>
      </c>
      <c r="F153" s="21">
        <f>+C153-24232</f>
        <v>24796</v>
      </c>
      <c r="G153" s="21">
        <f>+D153-25453</f>
        <v>28550</v>
      </c>
      <c r="H153" s="23">
        <f t="shared" si="51"/>
        <v>-0.13148861646234675</v>
      </c>
      <c r="I153" s="24">
        <f t="shared" si="52"/>
        <v>49.04757873052133</v>
      </c>
      <c r="J153" s="24">
        <f t="shared" si="53"/>
        <v>96.979540651718011</v>
      </c>
      <c r="K153" s="21">
        <v>2404704.69</v>
      </c>
      <c r="L153" s="21">
        <v>2490796.4900000002</v>
      </c>
      <c r="M153" s="25">
        <f t="shared" si="54"/>
        <v>-3.4563963915012694E-2</v>
      </c>
      <c r="N153" s="10"/>
      <c r="R153" s="2"/>
    </row>
    <row r="154" spans="1:18" ht="15" customHeight="1" x14ac:dyDescent="0.25">
      <c r="A154" s="19"/>
      <c r="B154" s="20">
        <f>DATE(2018,12,1)</f>
        <v>43435</v>
      </c>
      <c r="C154" s="21">
        <v>58147</v>
      </c>
      <c r="D154" s="21">
        <v>55987</v>
      </c>
      <c r="E154" s="23">
        <f t="shared" si="50"/>
        <v>3.8580384732169966E-2</v>
      </c>
      <c r="F154" s="21">
        <f>+C154-29074</f>
        <v>29073</v>
      </c>
      <c r="G154" s="21">
        <f>+D154-26854</f>
        <v>29133</v>
      </c>
      <c r="H154" s="23">
        <f t="shared" si="51"/>
        <v>-2.0595201318092883E-3</v>
      </c>
      <c r="I154" s="24">
        <f t="shared" si="52"/>
        <v>44.919320515245843</v>
      </c>
      <c r="J154" s="24">
        <f t="shared" si="53"/>
        <v>89.840186083307529</v>
      </c>
      <c r="K154" s="21">
        <v>2611923.73</v>
      </c>
      <c r="L154" s="21">
        <v>2654038.9300000002</v>
      </c>
      <c r="M154" s="25">
        <f t="shared" si="54"/>
        <v>-1.586834297114104E-2</v>
      </c>
      <c r="N154" s="10"/>
      <c r="R154" s="2"/>
    </row>
    <row r="155" spans="1:18" ht="15" customHeight="1" x14ac:dyDescent="0.25">
      <c r="A155" s="19"/>
      <c r="B155" s="20">
        <f>DATE(2019,1,1)</f>
        <v>43466</v>
      </c>
      <c r="C155" s="21">
        <v>41757</v>
      </c>
      <c r="D155" s="21">
        <v>52482</v>
      </c>
      <c r="E155" s="23">
        <f t="shared" si="50"/>
        <v>-0.20435577912427119</v>
      </c>
      <c r="F155" s="21">
        <f>+C155-21350</f>
        <v>20407</v>
      </c>
      <c r="G155" s="21">
        <f>+D155-25959</f>
        <v>26523</v>
      </c>
      <c r="H155" s="23">
        <f t="shared" si="51"/>
        <v>-0.23059231610300493</v>
      </c>
      <c r="I155" s="24">
        <f t="shared" si="52"/>
        <v>49.2249914984314</v>
      </c>
      <c r="J155" s="24">
        <f t="shared" si="53"/>
        <v>100.7246518351546</v>
      </c>
      <c r="K155" s="21">
        <v>2055487.97</v>
      </c>
      <c r="L155" s="21">
        <v>2554089.98</v>
      </c>
      <c r="M155" s="25">
        <f t="shared" si="54"/>
        <v>-0.19521708863209275</v>
      </c>
      <c r="N155" s="10"/>
      <c r="R155" s="2"/>
    </row>
    <row r="156" spans="1:18" ht="15" customHeight="1" x14ac:dyDescent="0.25">
      <c r="A156" s="19"/>
      <c r="B156" s="20">
        <f>DATE(2019,2,1)</f>
        <v>43497</v>
      </c>
      <c r="C156" s="21">
        <v>48742</v>
      </c>
      <c r="D156" s="21">
        <v>54321</v>
      </c>
      <c r="E156" s="23">
        <f t="shared" si="50"/>
        <v>-0.10270429483993299</v>
      </c>
      <c r="F156" s="21">
        <f>+C156-24917</f>
        <v>23825</v>
      </c>
      <c r="G156" s="21">
        <f>+D156-26653</f>
        <v>27668</v>
      </c>
      <c r="H156" s="23">
        <f t="shared" si="51"/>
        <v>-0.13889692063033107</v>
      </c>
      <c r="I156" s="24">
        <f t="shared" si="52"/>
        <v>50.067065774896392</v>
      </c>
      <c r="J156" s="24">
        <f t="shared" si="53"/>
        <v>102.42891584470094</v>
      </c>
      <c r="K156" s="21">
        <v>2440368.92</v>
      </c>
      <c r="L156" s="21">
        <v>2627841.65</v>
      </c>
      <c r="M156" s="25">
        <f t="shared" si="54"/>
        <v>-7.1340953896518081E-2</v>
      </c>
      <c r="N156" s="10"/>
      <c r="R156" s="2"/>
    </row>
    <row r="157" spans="1:18" ht="15" customHeight="1" x14ac:dyDescent="0.25">
      <c r="A157" s="19"/>
      <c r="B157" s="20">
        <f>DATE(2019,3,1)</f>
        <v>43525</v>
      </c>
      <c r="C157" s="21">
        <v>61678</v>
      </c>
      <c r="D157" s="21">
        <v>72081</v>
      </c>
      <c r="E157" s="23">
        <f t="shared" si="50"/>
        <v>-0.14432374689585328</v>
      </c>
      <c r="F157" s="21">
        <f>+C157-31460</f>
        <v>30218</v>
      </c>
      <c r="G157" s="21">
        <f>+D157-35399</f>
        <v>36682</v>
      </c>
      <c r="H157" s="23">
        <f t="shared" si="51"/>
        <v>-0.17621721825418463</v>
      </c>
      <c r="I157" s="24">
        <f t="shared" si="52"/>
        <v>49.927333895392202</v>
      </c>
      <c r="J157" s="24">
        <f t="shared" si="53"/>
        <v>101.90674763386062</v>
      </c>
      <c r="K157" s="21">
        <v>3079418.1</v>
      </c>
      <c r="L157" s="21">
        <v>3614132.94</v>
      </c>
      <c r="M157" s="25">
        <f t="shared" si="54"/>
        <v>-0.14795107121875817</v>
      </c>
      <c r="N157" s="10"/>
      <c r="R157" s="2"/>
    </row>
    <row r="158" spans="1:18" ht="15" customHeight="1" x14ac:dyDescent="0.25">
      <c r="A158" s="19"/>
      <c r="B158" s="20">
        <f>DATE(2019,4,1)</f>
        <v>43556</v>
      </c>
      <c r="C158" s="21">
        <v>52634</v>
      </c>
      <c r="D158" s="21">
        <v>60066</v>
      </c>
      <c r="E158" s="23">
        <f t="shared" si="50"/>
        <v>-0.12373056304731463</v>
      </c>
      <c r="F158" s="21">
        <f>+C158-26199</f>
        <v>26435</v>
      </c>
      <c r="G158" s="21">
        <f>+D158-29108</f>
        <v>30958</v>
      </c>
      <c r="H158" s="23">
        <f t="shared" si="51"/>
        <v>-0.14610116932618386</v>
      </c>
      <c r="I158" s="24">
        <f t="shared" si="52"/>
        <v>47.909465174601969</v>
      </c>
      <c r="J158" s="24">
        <f t="shared" si="53"/>
        <v>95.391215812369964</v>
      </c>
      <c r="K158" s="21">
        <v>2521666.79</v>
      </c>
      <c r="L158" s="21">
        <v>2909617.51</v>
      </c>
      <c r="M158" s="25">
        <f t="shared" si="54"/>
        <v>-0.13333392401807473</v>
      </c>
      <c r="N158" s="10"/>
      <c r="R158" s="2"/>
    </row>
    <row r="159" spans="1:18" ht="15" customHeight="1" x14ac:dyDescent="0.25">
      <c r="A159" s="19"/>
      <c r="B159" s="20">
        <f>DATE(2019,5,1)</f>
        <v>43586</v>
      </c>
      <c r="C159" s="21">
        <v>53321</v>
      </c>
      <c r="D159" s="21">
        <v>60028</v>
      </c>
      <c r="E159" s="23">
        <f t="shared" si="50"/>
        <v>-0.1117311921103485</v>
      </c>
      <c r="F159" s="21">
        <f>+C159-26181</f>
        <v>27140</v>
      </c>
      <c r="G159" s="21">
        <f>+D159-28729</f>
        <v>31299</v>
      </c>
      <c r="H159" s="23">
        <f t="shared" si="51"/>
        <v>-0.13287964471708361</v>
      </c>
      <c r="I159" s="24">
        <f t="shared" si="52"/>
        <v>47.169692241330807</v>
      </c>
      <c r="J159" s="24">
        <f t="shared" si="53"/>
        <v>92.672629329403094</v>
      </c>
      <c r="K159" s="21">
        <v>2515135.16</v>
      </c>
      <c r="L159" s="21">
        <v>2925928.43</v>
      </c>
      <c r="M159" s="25">
        <f t="shared" si="54"/>
        <v>-0.14039757971797007</v>
      </c>
      <c r="N159" s="10"/>
      <c r="R159" s="2"/>
    </row>
    <row r="160" spans="1:18" ht="15.75" thickBot="1" x14ac:dyDescent="0.25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Top="1" thickBot="1" x14ac:dyDescent="0.3">
      <c r="A161" s="62" t="s">
        <v>14</v>
      </c>
      <c r="B161" s="52"/>
      <c r="C161" s="48">
        <f>SUM(C149:C160)</f>
        <v>602606</v>
      </c>
      <c r="D161" s="48">
        <f>SUM(D149:D160)</f>
        <v>642705</v>
      </c>
      <c r="E161" s="280">
        <f>(+C161-D161)/D161</f>
        <v>-6.2390988089403382E-2</v>
      </c>
      <c r="F161" s="48">
        <f>SUM(F149:F160)</f>
        <v>305828</v>
      </c>
      <c r="G161" s="48">
        <f>SUM(G149:G160)</f>
        <v>333392</v>
      </c>
      <c r="H161" s="42">
        <f>(+F161-G161)/G161</f>
        <v>-8.2677448769016657E-2</v>
      </c>
      <c r="I161" s="50">
        <f>K161/C161</f>
        <v>47.096542201703933</v>
      </c>
      <c r="J161" s="50">
        <f>K161/F161</f>
        <v>92.799413101481875</v>
      </c>
      <c r="K161" s="48">
        <f>SUM(K149:K160)</f>
        <v>28380658.91</v>
      </c>
      <c r="L161" s="48">
        <f>SUM(L149:L160)</f>
        <v>30707316.449999996</v>
      </c>
      <c r="M161" s="44">
        <f>(+K161-L161)/L161</f>
        <v>-7.5768833261233931E-2</v>
      </c>
      <c r="N161" s="10"/>
      <c r="R161" s="2"/>
    </row>
    <row r="162" spans="1:18" ht="15.75" customHeight="1" thickTop="1" x14ac:dyDescent="0.25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 x14ac:dyDescent="0.25">
      <c r="A163" s="19" t="s">
        <v>19</v>
      </c>
      <c r="B163" s="20">
        <f>DATE(2018,7,1)</f>
        <v>43282</v>
      </c>
      <c r="C163" s="21">
        <v>470294</v>
      </c>
      <c r="D163" s="21">
        <v>504566</v>
      </c>
      <c r="E163" s="23">
        <f t="shared" ref="E163:E173" si="55">(+C163-D163)/D163</f>
        <v>-6.792372058363029E-2</v>
      </c>
      <c r="F163" s="21">
        <f>+C163-224781</f>
        <v>245513</v>
      </c>
      <c r="G163" s="21">
        <f>+D163-244721</f>
        <v>259845</v>
      </c>
      <c r="H163" s="23">
        <f t="shared" ref="H163:H173" si="56">(+F163-G163)/G163</f>
        <v>-5.5155958359791417E-2</v>
      </c>
      <c r="I163" s="24">
        <f t="shared" ref="I163:I173" si="57">K163/C163</f>
        <v>49.797692039447668</v>
      </c>
      <c r="J163" s="24">
        <f t="shared" ref="J163:J173" si="58">K163/F163</f>
        <v>95.390288009188922</v>
      </c>
      <c r="K163" s="21">
        <v>23419555.780000001</v>
      </c>
      <c r="L163" s="21">
        <v>23735238.920000002</v>
      </c>
      <c r="M163" s="25">
        <f t="shared" ref="M163:M173" si="59">(+K163-L163)/L163</f>
        <v>-1.3300188005859795E-2</v>
      </c>
      <c r="N163" s="10"/>
      <c r="R163" s="2"/>
    </row>
    <row r="164" spans="1:18" ht="15.75" x14ac:dyDescent="0.25">
      <c r="A164" s="19"/>
      <c r="B164" s="20">
        <f>DATE(2018,8,1)</f>
        <v>43313</v>
      </c>
      <c r="C164" s="21">
        <v>474770</v>
      </c>
      <c r="D164" s="21">
        <v>457218</v>
      </c>
      <c r="E164" s="23">
        <f t="shared" si="55"/>
        <v>3.8388689859104409E-2</v>
      </c>
      <c r="F164" s="21">
        <f>+C164-232249</f>
        <v>242521</v>
      </c>
      <c r="G164" s="21">
        <f>+D164-220228</f>
        <v>236990</v>
      </c>
      <c r="H164" s="23">
        <f t="shared" si="56"/>
        <v>2.3338537491033377E-2</v>
      </c>
      <c r="I164" s="24">
        <f t="shared" si="57"/>
        <v>50.1026419318828</v>
      </c>
      <c r="J164" s="24">
        <f t="shared" si="58"/>
        <v>98.083181703852446</v>
      </c>
      <c r="K164" s="21">
        <v>23787231.309999999</v>
      </c>
      <c r="L164" s="21">
        <v>21406025.879999999</v>
      </c>
      <c r="M164" s="25">
        <f t="shared" si="59"/>
        <v>0.11123995847472085</v>
      </c>
      <c r="N164" s="10"/>
      <c r="R164" s="2"/>
    </row>
    <row r="165" spans="1:18" ht="15.75" x14ac:dyDescent="0.25">
      <c r="A165" s="19"/>
      <c r="B165" s="20">
        <f>DATE(2018,9,1)</f>
        <v>43344</v>
      </c>
      <c r="C165" s="21">
        <v>439040</v>
      </c>
      <c r="D165" s="21">
        <v>469781</v>
      </c>
      <c r="E165" s="23">
        <f t="shared" si="55"/>
        <v>-6.5436873777355825E-2</v>
      </c>
      <c r="F165" s="21">
        <f>+C165-213778</f>
        <v>225262</v>
      </c>
      <c r="G165" s="21">
        <f>+D165-233419</f>
        <v>236362</v>
      </c>
      <c r="H165" s="23">
        <f t="shared" si="56"/>
        <v>-4.6961863582132495E-2</v>
      </c>
      <c r="I165" s="24">
        <f t="shared" si="57"/>
        <v>49.367473442055392</v>
      </c>
      <c r="J165" s="24">
        <f t="shared" si="58"/>
        <v>96.218161696158248</v>
      </c>
      <c r="K165" s="21">
        <v>21674295.539999999</v>
      </c>
      <c r="L165" s="21">
        <v>22005324.359999999</v>
      </c>
      <c r="M165" s="25">
        <f t="shared" si="59"/>
        <v>-1.5043123863319427E-2</v>
      </c>
      <c r="N165" s="10"/>
      <c r="R165" s="2"/>
    </row>
    <row r="166" spans="1:18" ht="15.75" x14ac:dyDescent="0.25">
      <c r="A166" s="19"/>
      <c r="B166" s="20">
        <f>DATE(2018,10,1)</f>
        <v>43374</v>
      </c>
      <c r="C166" s="21">
        <v>422287</v>
      </c>
      <c r="D166" s="21">
        <v>443959</v>
      </c>
      <c r="E166" s="23">
        <f t="shared" si="55"/>
        <v>-4.8815318531666214E-2</v>
      </c>
      <c r="F166" s="21">
        <f>+C166-199383</f>
        <v>222904</v>
      </c>
      <c r="G166" s="21">
        <f>+D166-215005</f>
        <v>228954</v>
      </c>
      <c r="H166" s="23">
        <f t="shared" si="56"/>
        <v>-2.6424521956375516E-2</v>
      </c>
      <c r="I166" s="24">
        <f t="shared" si="57"/>
        <v>49.147177322531832</v>
      </c>
      <c r="J166" s="24">
        <f t="shared" si="58"/>
        <v>93.108307029034918</v>
      </c>
      <c r="K166" s="21">
        <v>20754214.07</v>
      </c>
      <c r="L166" s="21">
        <v>21053075.300000001</v>
      </c>
      <c r="M166" s="25">
        <f t="shared" si="59"/>
        <v>-1.419560922769323E-2</v>
      </c>
      <c r="N166" s="10"/>
      <c r="R166" s="2"/>
    </row>
    <row r="167" spans="1:18" ht="15.75" x14ac:dyDescent="0.25">
      <c r="A167" s="19"/>
      <c r="B167" s="20">
        <f>DATE(2018,11,1)</f>
        <v>43405</v>
      </c>
      <c r="C167" s="21">
        <v>425527</v>
      </c>
      <c r="D167" s="21">
        <v>438651</v>
      </c>
      <c r="E167" s="23">
        <f t="shared" si="55"/>
        <v>-2.9919001666472891E-2</v>
      </c>
      <c r="F167" s="21">
        <f>+C167-204971</f>
        <v>220556</v>
      </c>
      <c r="G167" s="21">
        <f>+D167-216495</f>
        <v>222156</v>
      </c>
      <c r="H167" s="23">
        <f t="shared" si="56"/>
        <v>-7.2021462395793949E-3</v>
      </c>
      <c r="I167" s="24">
        <f t="shared" si="57"/>
        <v>50.26108846207174</v>
      </c>
      <c r="J167" s="24">
        <f t="shared" si="58"/>
        <v>96.970611500027204</v>
      </c>
      <c r="K167" s="21">
        <v>21387450.190000001</v>
      </c>
      <c r="L167" s="21">
        <v>20908979.129999999</v>
      </c>
      <c r="M167" s="25">
        <f t="shared" si="59"/>
        <v>2.2883520856046807E-2</v>
      </c>
      <c r="N167" s="10"/>
      <c r="R167" s="2"/>
    </row>
    <row r="168" spans="1:18" ht="15.75" x14ac:dyDescent="0.25">
      <c r="A168" s="19"/>
      <c r="B168" s="20">
        <f>DATE(2018,12,1)</f>
        <v>43435</v>
      </c>
      <c r="C168" s="21">
        <v>480889</v>
      </c>
      <c r="D168" s="21">
        <v>489188</v>
      </c>
      <c r="E168" s="23">
        <f t="shared" si="55"/>
        <v>-1.6964847870348413E-2</v>
      </c>
      <c r="F168" s="21">
        <f>+C168-230072</f>
        <v>250817</v>
      </c>
      <c r="G168" s="21">
        <f>+D168-242094</f>
        <v>247094</v>
      </c>
      <c r="H168" s="23">
        <f t="shared" si="56"/>
        <v>1.5067140440480142E-2</v>
      </c>
      <c r="I168" s="24">
        <f t="shared" si="57"/>
        <v>47.909385949772194</v>
      </c>
      <c r="J168" s="24">
        <f t="shared" si="58"/>
        <v>91.856200735994761</v>
      </c>
      <c r="K168" s="21">
        <v>23039096.699999999</v>
      </c>
      <c r="L168" s="21">
        <v>22430640.239999998</v>
      </c>
      <c r="M168" s="25">
        <f t="shared" si="59"/>
        <v>2.7126129860304021E-2</v>
      </c>
      <c r="N168" s="10"/>
      <c r="R168" s="2"/>
    </row>
    <row r="169" spans="1:18" ht="15.75" x14ac:dyDescent="0.25">
      <c r="A169" s="19"/>
      <c r="B169" s="20">
        <f>DATE(2019,1,1)</f>
        <v>43466</v>
      </c>
      <c r="C169" s="21">
        <v>389075</v>
      </c>
      <c r="D169" s="21">
        <v>417488</v>
      </c>
      <c r="E169" s="23">
        <f t="shared" si="55"/>
        <v>-6.8057045951021342E-2</v>
      </c>
      <c r="F169" s="21">
        <f>+C169-191824</f>
        <v>197251</v>
      </c>
      <c r="G169" s="21">
        <f>+D169-207200</f>
        <v>210288</v>
      </c>
      <c r="H169" s="23">
        <f t="shared" si="56"/>
        <v>-6.1995929392071825E-2</v>
      </c>
      <c r="I169" s="24">
        <f t="shared" si="57"/>
        <v>48.973892771316578</v>
      </c>
      <c r="J169" s="24">
        <f t="shared" si="58"/>
        <v>96.60035857866373</v>
      </c>
      <c r="K169" s="21">
        <v>19054517.329999998</v>
      </c>
      <c r="L169" s="21">
        <v>20053049.41</v>
      </c>
      <c r="M169" s="25">
        <f t="shared" si="59"/>
        <v>-4.9794525490076173E-2</v>
      </c>
      <c r="N169" s="10"/>
      <c r="R169" s="2"/>
    </row>
    <row r="170" spans="1:18" ht="15.75" x14ac:dyDescent="0.25">
      <c r="A170" s="19"/>
      <c r="B170" s="20">
        <f>DATE(2019,2,1)</f>
        <v>43497</v>
      </c>
      <c r="C170" s="21">
        <v>399765</v>
      </c>
      <c r="D170" s="21">
        <v>430711</v>
      </c>
      <c r="E170" s="23">
        <f t="shared" si="55"/>
        <v>-7.1848640968073724E-2</v>
      </c>
      <c r="F170" s="21">
        <f>+C170-193480</f>
        <v>206285</v>
      </c>
      <c r="G170" s="21">
        <f>+D170-217330</f>
        <v>213381</v>
      </c>
      <c r="H170" s="23">
        <f t="shared" si="56"/>
        <v>-3.3255069570392863E-2</v>
      </c>
      <c r="I170" s="24">
        <f t="shared" si="57"/>
        <v>52.260842770127446</v>
      </c>
      <c r="J170" s="24">
        <f t="shared" si="58"/>
        <v>101.27762954165352</v>
      </c>
      <c r="K170" s="21">
        <v>20892055.809999999</v>
      </c>
      <c r="L170" s="21">
        <v>20531016.93</v>
      </c>
      <c r="M170" s="25">
        <f t="shared" si="59"/>
        <v>1.7585046139261012E-2</v>
      </c>
      <c r="N170" s="10"/>
      <c r="R170" s="2"/>
    </row>
    <row r="171" spans="1:18" ht="15.75" x14ac:dyDescent="0.25">
      <c r="A171" s="19"/>
      <c r="B171" s="20">
        <f>DATE(2019,3,1)</f>
        <v>43525</v>
      </c>
      <c r="C171" s="21">
        <v>489112</v>
      </c>
      <c r="D171" s="21">
        <v>521467</v>
      </c>
      <c r="E171" s="23">
        <f t="shared" si="55"/>
        <v>-6.2046112218031052E-2</v>
      </c>
      <c r="F171" s="21">
        <f>+C171-235747</f>
        <v>253365</v>
      </c>
      <c r="G171" s="21">
        <f>+D171-260794</f>
        <v>260673</v>
      </c>
      <c r="H171" s="23">
        <f t="shared" si="56"/>
        <v>-2.8035124466285345E-2</v>
      </c>
      <c r="I171" s="24">
        <f t="shared" si="57"/>
        <v>50.781532266638315</v>
      </c>
      <c r="J171" s="24">
        <f t="shared" si="58"/>
        <v>98.031917628717451</v>
      </c>
      <c r="K171" s="21">
        <v>24837856.809999999</v>
      </c>
      <c r="L171" s="21">
        <v>25571186.27</v>
      </c>
      <c r="M171" s="25">
        <f t="shared" si="59"/>
        <v>-2.8677960117178439E-2</v>
      </c>
      <c r="N171" s="10"/>
      <c r="R171" s="2"/>
    </row>
    <row r="172" spans="1:18" ht="15.75" x14ac:dyDescent="0.25">
      <c r="A172" s="19"/>
      <c r="B172" s="20">
        <f>DATE(2019,4,1)</f>
        <v>43556</v>
      </c>
      <c r="C172" s="21">
        <v>420619</v>
      </c>
      <c r="D172" s="21">
        <v>465006</v>
      </c>
      <c r="E172" s="23">
        <f t="shared" si="55"/>
        <v>-9.5454682305174551E-2</v>
      </c>
      <c r="F172" s="21">
        <f>+C172-198935</f>
        <v>221684</v>
      </c>
      <c r="G172" s="21">
        <f>+D172-234252</f>
        <v>230754</v>
      </c>
      <c r="H172" s="23">
        <f t="shared" si="56"/>
        <v>-3.9305927524549956E-2</v>
      </c>
      <c r="I172" s="24">
        <f t="shared" si="57"/>
        <v>53.584768281984402</v>
      </c>
      <c r="J172" s="24">
        <f t="shared" si="58"/>
        <v>101.67071890619079</v>
      </c>
      <c r="K172" s="21">
        <v>22538771.649999999</v>
      </c>
      <c r="L172" s="21">
        <v>22440610.23</v>
      </c>
      <c r="M172" s="25">
        <f t="shared" si="59"/>
        <v>4.374275877256216E-3</v>
      </c>
      <c r="N172" s="10"/>
      <c r="R172" s="2"/>
    </row>
    <row r="173" spans="1:18" ht="15.75" x14ac:dyDescent="0.25">
      <c r="A173" s="19"/>
      <c r="B173" s="20">
        <f>DATE(2019,5,1)</f>
        <v>43586</v>
      </c>
      <c r="C173" s="21">
        <v>457426</v>
      </c>
      <c r="D173" s="21">
        <v>440614</v>
      </c>
      <c r="E173" s="23">
        <f t="shared" si="55"/>
        <v>3.8155846160131089E-2</v>
      </c>
      <c r="F173" s="21">
        <f>+C173-216873</f>
        <v>240553</v>
      </c>
      <c r="G173" s="21">
        <f>+D173-216248</f>
        <v>224366</v>
      </c>
      <c r="H173" s="23">
        <f t="shared" si="56"/>
        <v>7.2145512243388041E-2</v>
      </c>
      <c r="I173" s="24">
        <f t="shared" si="57"/>
        <v>51.497009614669913</v>
      </c>
      <c r="J173" s="24">
        <f t="shared" si="58"/>
        <v>97.924661592247872</v>
      </c>
      <c r="K173" s="21">
        <v>23556071.120000001</v>
      </c>
      <c r="L173" s="21">
        <v>22273039.91</v>
      </c>
      <c r="M173" s="25">
        <f t="shared" si="59"/>
        <v>5.7604674314077536E-2</v>
      </c>
      <c r="N173" s="10"/>
      <c r="R173" s="2"/>
    </row>
    <row r="174" spans="1:18" ht="15.75" thickBot="1" x14ac:dyDescent="0.25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Top="1" thickBot="1" x14ac:dyDescent="0.3">
      <c r="A175" s="39" t="s">
        <v>14</v>
      </c>
      <c r="B175" s="40"/>
      <c r="C175" s="41">
        <f>SUM(C163:C174)</f>
        <v>4868804</v>
      </c>
      <c r="D175" s="41">
        <f>SUM(D163:D174)</f>
        <v>5078649</v>
      </c>
      <c r="E175" s="280">
        <f>(+C175-D175)/D175</f>
        <v>-4.1319059458529227E-2</v>
      </c>
      <c r="F175" s="41">
        <f>SUM(F163:F174)</f>
        <v>2526711</v>
      </c>
      <c r="G175" s="41">
        <f>SUM(G163:G174)</f>
        <v>2570863</v>
      </c>
      <c r="H175" s="42">
        <f>(+F175-G175)/G175</f>
        <v>-1.7173999548011697E-2</v>
      </c>
      <c r="I175" s="43">
        <f>K175/C175</f>
        <v>50.308272074620376</v>
      </c>
      <c r="J175" s="43">
        <f>K175/F175</f>
        <v>96.940693379654419</v>
      </c>
      <c r="K175" s="41">
        <f>SUM(K163:K174)</f>
        <v>244941116.31</v>
      </c>
      <c r="L175" s="41">
        <f>SUM(L163:L174)</f>
        <v>242408186.57999998</v>
      </c>
      <c r="M175" s="44">
        <f>(+K175-L175)/L175</f>
        <v>1.0449027179055676E-2</v>
      </c>
      <c r="N175" s="10"/>
      <c r="R175" s="2"/>
    </row>
    <row r="176" spans="1:18" ht="15.75" customHeight="1" thickTop="1" x14ac:dyDescent="0.25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 x14ac:dyDescent="0.25">
      <c r="A177" s="19" t="s">
        <v>63</v>
      </c>
      <c r="B177" s="20">
        <f>DATE(2018,7,1)</f>
        <v>43282</v>
      </c>
      <c r="C177" s="21">
        <v>83462</v>
      </c>
      <c r="D177" s="21">
        <v>79906</v>
      </c>
      <c r="E177" s="23">
        <f t="shared" ref="E177:E187" si="60">(+C177-D177)/D177</f>
        <v>4.4502290190974396E-2</v>
      </c>
      <c r="F177" s="21">
        <f>+C177-37670</f>
        <v>45792</v>
      </c>
      <c r="G177" s="21">
        <f>+D177-36860</f>
        <v>43046</v>
      </c>
      <c r="H177" s="23">
        <f t="shared" ref="H177:H187" si="61">(+F177-G177)/G177</f>
        <v>6.379222227384658E-2</v>
      </c>
      <c r="I177" s="24">
        <f t="shared" ref="I177:I187" si="62">K177/C177</f>
        <v>43.092575064101027</v>
      </c>
      <c r="J177" s="24">
        <f t="shared" ref="J177:J187" si="63">K177/F177</f>
        <v>78.541939640111806</v>
      </c>
      <c r="K177" s="21">
        <v>3596592.5</v>
      </c>
      <c r="L177" s="21">
        <v>3314806.15</v>
      </c>
      <c r="M177" s="25">
        <f t="shared" ref="M177:M187" si="64">(+K177-L177)/L177</f>
        <v>8.5008394834793014E-2</v>
      </c>
      <c r="N177" s="10"/>
      <c r="R177" s="2"/>
    </row>
    <row r="178" spans="1:18" ht="15.75" x14ac:dyDescent="0.25">
      <c r="A178" s="19"/>
      <c r="B178" s="20">
        <f>DATE(2018,8,1)</f>
        <v>43313</v>
      </c>
      <c r="C178" s="21">
        <v>82775</v>
      </c>
      <c r="D178" s="21">
        <v>79783</v>
      </c>
      <c r="E178" s="23">
        <f t="shared" si="60"/>
        <v>3.7501723424789739E-2</v>
      </c>
      <c r="F178" s="21">
        <f>+C178-37255</f>
        <v>45520</v>
      </c>
      <c r="G178" s="21">
        <f>+D178-35821</f>
        <v>43962</v>
      </c>
      <c r="H178" s="23">
        <f t="shared" si="61"/>
        <v>3.5439697920931712E-2</v>
      </c>
      <c r="I178" s="24">
        <f t="shared" si="62"/>
        <v>43.964893868921777</v>
      </c>
      <c r="J178" s="24">
        <f t="shared" si="63"/>
        <v>79.947146089630934</v>
      </c>
      <c r="K178" s="21">
        <v>3639194.09</v>
      </c>
      <c r="L178" s="21">
        <v>3234719.93</v>
      </c>
      <c r="M178" s="25">
        <f t="shared" si="64"/>
        <v>0.12504147770221322</v>
      </c>
      <c r="N178" s="10"/>
      <c r="R178" s="2"/>
    </row>
    <row r="179" spans="1:18" ht="15.75" x14ac:dyDescent="0.25">
      <c r="A179" s="19"/>
      <c r="B179" s="20">
        <f>DATE(2018,9,1)</f>
        <v>43344</v>
      </c>
      <c r="C179" s="21">
        <v>77092</v>
      </c>
      <c r="D179" s="21">
        <v>84353</v>
      </c>
      <c r="E179" s="23">
        <f t="shared" si="60"/>
        <v>-8.6078740530864339E-2</v>
      </c>
      <c r="F179" s="21">
        <f>+C179-35421</f>
        <v>41671</v>
      </c>
      <c r="G179" s="21">
        <f>+D179-38205</f>
        <v>46148</v>
      </c>
      <c r="H179" s="23">
        <f t="shared" si="61"/>
        <v>-9.701395510097946E-2</v>
      </c>
      <c r="I179" s="24">
        <f t="shared" si="62"/>
        <v>44.389417838426816</v>
      </c>
      <c r="J179" s="24">
        <f t="shared" si="63"/>
        <v>82.12111540399799</v>
      </c>
      <c r="K179" s="21">
        <v>3422069</v>
      </c>
      <c r="L179" s="21">
        <v>3468398</v>
      </c>
      <c r="M179" s="25">
        <f t="shared" si="64"/>
        <v>-1.3357463589818701E-2</v>
      </c>
      <c r="N179" s="10"/>
      <c r="R179" s="2"/>
    </row>
    <row r="180" spans="1:18" ht="15.75" x14ac:dyDescent="0.25">
      <c r="A180" s="19"/>
      <c r="B180" s="20">
        <f>DATE(2018,10,1)</f>
        <v>43374</v>
      </c>
      <c r="C180" s="21">
        <v>82223</v>
      </c>
      <c r="D180" s="21">
        <v>80014</v>
      </c>
      <c r="E180" s="23">
        <f t="shared" si="60"/>
        <v>2.7607668657984853E-2</v>
      </c>
      <c r="F180" s="21">
        <f>+C180-37480</f>
        <v>44743</v>
      </c>
      <c r="G180" s="21">
        <f>+D180-36610</f>
        <v>43404</v>
      </c>
      <c r="H180" s="23">
        <f t="shared" si="61"/>
        <v>3.0849691272693762E-2</v>
      </c>
      <c r="I180" s="24">
        <f t="shared" si="62"/>
        <v>41.261118300232297</v>
      </c>
      <c r="J180" s="24">
        <f t="shared" si="63"/>
        <v>75.824440247636502</v>
      </c>
      <c r="K180" s="21">
        <v>3392612.93</v>
      </c>
      <c r="L180" s="21">
        <v>3370291.8</v>
      </c>
      <c r="M180" s="25">
        <f t="shared" si="64"/>
        <v>6.6229072509390299E-3</v>
      </c>
      <c r="N180" s="10"/>
      <c r="R180" s="2"/>
    </row>
    <row r="181" spans="1:18" ht="15.75" x14ac:dyDescent="0.25">
      <c r="A181" s="19"/>
      <c r="B181" s="20">
        <f>DATE(2018,11,1)</f>
        <v>43405</v>
      </c>
      <c r="C181" s="21">
        <v>76303</v>
      </c>
      <c r="D181" s="21">
        <v>81471</v>
      </c>
      <c r="E181" s="23">
        <f t="shared" si="60"/>
        <v>-6.3433614414945189E-2</v>
      </c>
      <c r="F181" s="21">
        <f>+C181-35181</f>
        <v>41122</v>
      </c>
      <c r="G181" s="21">
        <f>+D181-37675</f>
        <v>43796</v>
      </c>
      <c r="H181" s="23">
        <f t="shared" si="61"/>
        <v>-6.1055804183030415E-2</v>
      </c>
      <c r="I181" s="24">
        <f t="shared" si="62"/>
        <v>44.119836048386041</v>
      </c>
      <c r="J181" s="24">
        <f t="shared" si="63"/>
        <v>81.865567093040227</v>
      </c>
      <c r="K181" s="21">
        <v>3366475.85</v>
      </c>
      <c r="L181" s="21">
        <v>3424537.07</v>
      </c>
      <c r="M181" s="25">
        <f t="shared" si="64"/>
        <v>-1.6954472623068945E-2</v>
      </c>
      <c r="N181" s="10"/>
      <c r="R181" s="2"/>
    </row>
    <row r="182" spans="1:18" ht="15.75" x14ac:dyDescent="0.25">
      <c r="A182" s="19"/>
      <c r="B182" s="20">
        <f>DATE(2018,12,1)</f>
        <v>43435</v>
      </c>
      <c r="C182" s="21">
        <v>85578</v>
      </c>
      <c r="D182" s="21">
        <v>87056</v>
      </c>
      <c r="E182" s="23">
        <f t="shared" si="60"/>
        <v>-1.6977577651167065E-2</v>
      </c>
      <c r="F182" s="21">
        <f>+C182-40324</f>
        <v>45254</v>
      </c>
      <c r="G182" s="21">
        <f>+D182-40605</f>
        <v>46451</v>
      </c>
      <c r="H182" s="23">
        <f t="shared" si="61"/>
        <v>-2.5769090008826507E-2</v>
      </c>
      <c r="I182" s="24">
        <f t="shared" si="62"/>
        <v>43.983009184603517</v>
      </c>
      <c r="J182" s="24">
        <f t="shared" si="63"/>
        <v>83.174480929862554</v>
      </c>
      <c r="K182" s="21">
        <v>3763977.96</v>
      </c>
      <c r="L182" s="21">
        <v>3766957.15</v>
      </c>
      <c r="M182" s="25">
        <f t="shared" si="64"/>
        <v>-7.9087440641578417E-4</v>
      </c>
      <c r="N182" s="10"/>
      <c r="R182" s="2"/>
    </row>
    <row r="183" spans="1:18" ht="15.75" x14ac:dyDescent="0.25">
      <c r="A183" s="19"/>
      <c r="B183" s="20">
        <f>DATE(2019,1,1)</f>
        <v>43466</v>
      </c>
      <c r="C183" s="21">
        <v>73768</v>
      </c>
      <c r="D183" s="21">
        <v>80564</v>
      </c>
      <c r="E183" s="23">
        <f t="shared" si="60"/>
        <v>-8.4355295169058139E-2</v>
      </c>
      <c r="F183" s="21">
        <f>+C183-34302</f>
        <v>39466</v>
      </c>
      <c r="G183" s="21">
        <f>+D183-37104</f>
        <v>43460</v>
      </c>
      <c r="H183" s="23">
        <f t="shared" si="61"/>
        <v>-9.1900598251265536E-2</v>
      </c>
      <c r="I183" s="24">
        <f t="shared" si="62"/>
        <v>45.209043623251276</v>
      </c>
      <c r="J183" s="24">
        <f t="shared" si="63"/>
        <v>84.502628338316526</v>
      </c>
      <c r="K183" s="21">
        <v>3334980.73</v>
      </c>
      <c r="L183" s="21">
        <v>3247765.74</v>
      </c>
      <c r="M183" s="25">
        <f t="shared" si="64"/>
        <v>2.6853842605039535E-2</v>
      </c>
      <c r="N183" s="10"/>
      <c r="R183" s="2"/>
    </row>
    <row r="184" spans="1:18" ht="15.75" x14ac:dyDescent="0.25">
      <c r="A184" s="19"/>
      <c r="B184" s="20">
        <f>DATE(2019,2,1)</f>
        <v>43497</v>
      </c>
      <c r="C184" s="21">
        <v>79948</v>
      </c>
      <c r="D184" s="21">
        <v>82056</v>
      </c>
      <c r="E184" s="23">
        <f t="shared" si="60"/>
        <v>-2.5689772838061811E-2</v>
      </c>
      <c r="F184" s="21">
        <f>+C184-38167</f>
        <v>41781</v>
      </c>
      <c r="G184" s="21">
        <f>+D184-38030</f>
        <v>44026</v>
      </c>
      <c r="H184" s="23">
        <f t="shared" si="61"/>
        <v>-5.099259528460455E-2</v>
      </c>
      <c r="I184" s="24">
        <f t="shared" si="62"/>
        <v>44.524138690148597</v>
      </c>
      <c r="J184" s="24">
        <f t="shared" si="63"/>
        <v>85.196999593116487</v>
      </c>
      <c r="K184" s="21">
        <v>3559615.84</v>
      </c>
      <c r="L184" s="21">
        <v>3559309.69</v>
      </c>
      <c r="M184" s="25">
        <f t="shared" si="64"/>
        <v>8.6013869728741383E-5</v>
      </c>
      <c r="N184" s="10"/>
      <c r="R184" s="2"/>
    </row>
    <row r="185" spans="1:18" ht="15.75" x14ac:dyDescent="0.25">
      <c r="A185" s="19"/>
      <c r="B185" s="20">
        <f>DATE(2019,3,1)</f>
        <v>43525</v>
      </c>
      <c r="C185" s="21">
        <v>51590</v>
      </c>
      <c r="D185" s="21">
        <v>100462</v>
      </c>
      <c r="E185" s="23">
        <f t="shared" si="60"/>
        <v>-0.48647249706356632</v>
      </c>
      <c r="F185" s="21">
        <f>+C185-24047</f>
        <v>27543</v>
      </c>
      <c r="G185" s="21">
        <f>+D185-46682</f>
        <v>53780</v>
      </c>
      <c r="H185" s="23">
        <f t="shared" si="61"/>
        <v>-0.4878579397545556</v>
      </c>
      <c r="I185" s="24">
        <f t="shared" si="62"/>
        <v>44.124725140531105</v>
      </c>
      <c r="J185" s="24">
        <f t="shared" si="63"/>
        <v>82.648751769959688</v>
      </c>
      <c r="K185" s="21">
        <v>2276394.5699999998</v>
      </c>
      <c r="L185" s="21">
        <v>4392174.67</v>
      </c>
      <c r="M185" s="25">
        <f t="shared" si="64"/>
        <v>-0.4817158375898562</v>
      </c>
      <c r="N185" s="10"/>
      <c r="R185" s="2"/>
    </row>
    <row r="186" spans="1:18" ht="15.75" x14ac:dyDescent="0.25">
      <c r="A186" s="19"/>
      <c r="B186" s="20">
        <f>DATE(2019,4,1)</f>
        <v>43556</v>
      </c>
      <c r="C186" s="21">
        <v>23917</v>
      </c>
      <c r="D186" s="21">
        <v>88416</v>
      </c>
      <c r="E186" s="23">
        <f t="shared" si="60"/>
        <v>-0.72949466159971044</v>
      </c>
      <c r="F186" s="21">
        <f>+C186-11625</f>
        <v>12292</v>
      </c>
      <c r="G186" s="21">
        <f>+D186-40698</f>
        <v>47718</v>
      </c>
      <c r="H186" s="23">
        <f t="shared" si="61"/>
        <v>-0.74240328597175065</v>
      </c>
      <c r="I186" s="24">
        <f t="shared" si="62"/>
        <v>52.802833131245563</v>
      </c>
      <c r="J186" s="24">
        <f t="shared" si="63"/>
        <v>102.74042954767329</v>
      </c>
      <c r="K186" s="21">
        <v>1262885.3600000001</v>
      </c>
      <c r="L186" s="21">
        <v>3832569.22</v>
      </c>
      <c r="M186" s="25">
        <f t="shared" si="64"/>
        <v>-0.67048596189477305</v>
      </c>
      <c r="N186" s="10"/>
      <c r="R186" s="2"/>
    </row>
    <row r="187" spans="1:18" ht="15.75" x14ac:dyDescent="0.25">
      <c r="A187" s="19"/>
      <c r="B187" s="20">
        <f>DATE(2019,5,1)</f>
        <v>43586</v>
      </c>
      <c r="C187" s="21">
        <v>68420</v>
      </c>
      <c r="D187" s="21">
        <v>84886</v>
      </c>
      <c r="E187" s="23">
        <f t="shared" si="60"/>
        <v>-0.19397780552741323</v>
      </c>
      <c r="F187" s="21">
        <f>+C187-32728</f>
        <v>35692</v>
      </c>
      <c r="G187" s="21">
        <f>+D187-37859</f>
        <v>47027</v>
      </c>
      <c r="H187" s="23">
        <f t="shared" si="61"/>
        <v>-0.24103174771939523</v>
      </c>
      <c r="I187" s="24">
        <f t="shared" si="62"/>
        <v>47.173769365682546</v>
      </c>
      <c r="J187" s="24">
        <f t="shared" si="63"/>
        <v>90.430048750420255</v>
      </c>
      <c r="K187" s="21">
        <v>3227629.3</v>
      </c>
      <c r="L187" s="21">
        <v>3649884.92</v>
      </c>
      <c r="M187" s="25">
        <f t="shared" si="64"/>
        <v>-0.11569011879969085</v>
      </c>
      <c r="N187" s="10"/>
      <c r="R187" s="2"/>
    </row>
    <row r="188" spans="1:18" ht="15.75" thickBot="1" x14ac:dyDescent="0.25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Top="1" thickBot="1" x14ac:dyDescent="0.3">
      <c r="A189" s="26" t="s">
        <v>14</v>
      </c>
      <c r="B189" s="27"/>
      <c r="C189" s="28">
        <f>SUM(C177:C188)</f>
        <v>785076</v>
      </c>
      <c r="D189" s="28">
        <f>SUM(D177:D188)</f>
        <v>928967</v>
      </c>
      <c r="E189" s="280">
        <f>(+C189-D189)/D189</f>
        <v>-0.15489355380761641</v>
      </c>
      <c r="F189" s="28">
        <f>SUM(F177:F188)</f>
        <v>420876</v>
      </c>
      <c r="G189" s="28">
        <f>SUM(G177:G188)</f>
        <v>502818</v>
      </c>
      <c r="H189" s="42">
        <f>(+F189-G189)/G189</f>
        <v>-0.16296552629380809</v>
      </c>
      <c r="I189" s="43">
        <f>K189/C189</f>
        <v>44.380962008773679</v>
      </c>
      <c r="J189" s="43">
        <f>K189/F189</f>
        <v>82.785495324038436</v>
      </c>
      <c r="K189" s="28">
        <f>SUM(K177:K188)</f>
        <v>34842428.130000003</v>
      </c>
      <c r="L189" s="28">
        <f>SUM(L177:L188)</f>
        <v>39261414.339999996</v>
      </c>
      <c r="M189" s="44">
        <f>(+K189-L189)/L189</f>
        <v>-0.11255290427726333</v>
      </c>
      <c r="N189" s="10"/>
      <c r="R189" s="2"/>
    </row>
    <row r="190" spans="1:18" ht="16.5" thickTop="1" thickBot="1" x14ac:dyDescent="0.25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Top="1" thickBot="1" x14ac:dyDescent="0.3">
      <c r="A191" s="64" t="s">
        <v>20</v>
      </c>
      <c r="B191" s="65"/>
      <c r="C191" s="28">
        <f>C189+C175+C77+C105+C119+C49+C21+C133+C147+C63+C161+C35+C91</f>
        <v>34480689</v>
      </c>
      <c r="D191" s="28">
        <f>D189+D175+D77+D105+D119+D49+D21+D133+D147+D63+D161+D35+D91</f>
        <v>36481568</v>
      </c>
      <c r="E191" s="279">
        <f>(+C191-D191)/D191</f>
        <v>-5.48462993695885E-2</v>
      </c>
      <c r="F191" s="28">
        <f>F189+F175+F77+F105+F119+F49+F21+F133+F147+F63+F161+F35+F91</f>
        <v>18044963</v>
      </c>
      <c r="G191" s="28">
        <f>G189+G175+G77+G105+G119+G49+G21+G133+G147+G63+G161+G35+G91</f>
        <v>18843128</v>
      </c>
      <c r="H191" s="30">
        <f>(+F191-G191)/G191</f>
        <v>-4.2358413104236194E-2</v>
      </c>
      <c r="I191" s="31">
        <f>K191/C191</f>
        <v>46.188380234803319</v>
      </c>
      <c r="J191" s="31">
        <f>K191/F191</f>
        <v>88.257713484366818</v>
      </c>
      <c r="K191" s="28">
        <f>K189+K175+K77+K105+K119+K49+K21+K133+K147+K63+K161+K35+K91</f>
        <v>1592607174.2900002</v>
      </c>
      <c r="L191" s="28">
        <f>L189+L175+L77+L105+L119+L49+L21+L133+L147+L63+L161+L35+L91</f>
        <v>1597793263.5200002</v>
      </c>
      <c r="M191" s="32">
        <f>(+K191-L191)/L191</f>
        <v>-3.2457823852473032E-3</v>
      </c>
      <c r="N191" s="10"/>
      <c r="R191" s="2"/>
    </row>
    <row r="192" spans="1:18" ht="17.25" thickTop="1" thickBot="1" x14ac:dyDescent="0.3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Top="1" thickBot="1" x14ac:dyDescent="0.3">
      <c r="A193" s="64" t="s">
        <v>21</v>
      </c>
      <c r="B193" s="65"/>
      <c r="C193" s="28">
        <f>+C19+C33+C47+C61+C75+C89+C103+C117+C131+C145+C159+C173+C187</f>
        <v>3167891</v>
      </c>
      <c r="D193" s="28">
        <f>+D19+D33+D47+D61+D75+D89+D103+D117+D131+D145+D159+D173+D187</f>
        <v>3260420</v>
      </c>
      <c r="E193" s="279">
        <f>(+C193-D193)/D193</f>
        <v>-2.8379472583286817E-2</v>
      </c>
      <c r="F193" s="28">
        <f>+F19+F33+F47+F61+F75+F89+F103+F117+F131+F145+F159+F173+F187</f>
        <v>1670521</v>
      </c>
      <c r="G193" s="28">
        <f>+G19+G33+G47+G61+G75+G89+G103+G117+G131+G145+G159+G173+G187</f>
        <v>1705220</v>
      </c>
      <c r="H193" s="30">
        <f>(+F193-G193)/G193</f>
        <v>-2.0348694010157046E-2</v>
      </c>
      <c r="I193" s="31">
        <f>K193/C193</f>
        <v>48.139460199230342</v>
      </c>
      <c r="J193" s="31">
        <f>K193/F193</f>
        <v>91.28922217080779</v>
      </c>
      <c r="K193" s="28">
        <f>+K19+K33+K47+K61+K75+K89+K103+K117+K131+K145+K159+K173+K187</f>
        <v>152500562.71000001</v>
      </c>
      <c r="L193" s="28">
        <f>+L19+L33+L47+L61+L75+L89+L103+L117+L131+L145+L159+L173+L187</f>
        <v>145173750.16</v>
      </c>
      <c r="M193" s="44">
        <f>(+K193-L193)/L193</f>
        <v>5.0469265565744013E-2</v>
      </c>
      <c r="N193" s="10"/>
      <c r="R193" s="2"/>
    </row>
    <row r="194" spans="1:18" ht="15.75" thickTop="1" x14ac:dyDescent="0.2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8.75" x14ac:dyDescent="0.3">
      <c r="A195" s="264" t="s">
        <v>22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8" x14ac:dyDescent="0.25">
      <c r="A196" s="69"/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.75" x14ac:dyDescent="0.2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x14ac:dyDescent="0.2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x14ac:dyDescent="0.2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.75" x14ac:dyDescent="0.2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.75" x14ac:dyDescent="0.2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 x14ac:dyDescent="0.2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 x14ac:dyDescent="0.2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 x14ac:dyDescent="0.2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 x14ac:dyDescent="0.2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 x14ac:dyDescent="0.2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.75" x14ac:dyDescent="0.2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.75" x14ac:dyDescent="0.2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DATE(2018,7,1)</f>
        <v>43282</v>
      </c>
      <c r="B10" s="89">
        <f>'MONTHLY STATS'!$C$9*2</f>
        <v>522912</v>
      </c>
      <c r="C10" s="89">
        <f>'MONTHLY STATS'!$C$23*2</f>
        <v>284956</v>
      </c>
      <c r="D10" s="89">
        <f>'MONTHLY STATS'!$C$37*2</f>
        <v>145820</v>
      </c>
      <c r="E10" s="89">
        <f>'MONTHLY STATS'!$C$51*2</f>
        <v>931784</v>
      </c>
      <c r="F10" s="89">
        <f>'MONTHLY STATS'!$C$65*2</f>
        <v>578334</v>
      </c>
      <c r="G10" s="89">
        <f>'MONTHLY STATS'!$C$79*2</f>
        <v>258320</v>
      </c>
      <c r="H10" s="89">
        <f>'MONTHLY STATS'!$C$93*2</f>
        <v>328480</v>
      </c>
      <c r="I10" s="89">
        <f>'MONTHLY STATS'!$C$107*2</f>
        <v>776692</v>
      </c>
      <c r="J10" s="89">
        <f>'MONTHLY STATS'!$C$121*2</f>
        <v>827460</v>
      </c>
      <c r="K10" s="89">
        <f>'MONTHLY STATS'!$C$135*2</f>
        <v>874342</v>
      </c>
      <c r="L10" s="89">
        <f>'MONTHLY STATS'!$C$149*2</f>
        <v>127868</v>
      </c>
      <c r="M10" s="89">
        <f>'MONTHLY STATS'!$C$163*2</f>
        <v>940588</v>
      </c>
      <c r="N10" s="89">
        <f>'MONTHLY STATS'!$C$177*2</f>
        <v>166924</v>
      </c>
      <c r="O10" s="90">
        <f t="shared" ref="O10:O15" si="0">SUM(B10:N10)</f>
        <v>6764480</v>
      </c>
      <c r="P10" s="83"/>
    </row>
    <row r="11" spans="1:16" ht="15.75" x14ac:dyDescent="0.25">
      <c r="A11" s="88">
        <f>DATE(2018,8,1)</f>
        <v>43313</v>
      </c>
      <c r="B11" s="89">
        <f>'MONTHLY STATS'!$C$10*2</f>
        <v>532734</v>
      </c>
      <c r="C11" s="89">
        <f>'MONTHLY STATS'!$C$24*2</f>
        <v>275588</v>
      </c>
      <c r="D11" s="89">
        <f>'MONTHLY STATS'!$C$38*2</f>
        <v>141148</v>
      </c>
      <c r="E11" s="89">
        <f>'MONTHLY STATS'!$C$52*2</f>
        <v>909144</v>
      </c>
      <c r="F11" s="89">
        <f>'MONTHLY STATS'!$C$66*2</f>
        <v>584264</v>
      </c>
      <c r="G11" s="89">
        <f>'MONTHLY STATS'!$C$80*2</f>
        <v>241720</v>
      </c>
      <c r="H11" s="89">
        <f>'MONTHLY STATS'!$C$94*2</f>
        <v>322250</v>
      </c>
      <c r="I11" s="89">
        <f>'MONTHLY STATS'!$C$108*2</f>
        <v>749962</v>
      </c>
      <c r="J11" s="89">
        <f>'MONTHLY STATS'!$C$122*2</f>
        <v>811314</v>
      </c>
      <c r="K11" s="89">
        <f>'MONTHLY STATS'!$C$136*2</f>
        <v>856870</v>
      </c>
      <c r="L11" s="89">
        <f>'MONTHLY STATS'!$C$150*2</f>
        <v>122008</v>
      </c>
      <c r="M11" s="89">
        <f>'MONTHLY STATS'!$C$164*2</f>
        <v>949540</v>
      </c>
      <c r="N11" s="89">
        <f>'MONTHLY STATS'!$C$178*2</f>
        <v>165550</v>
      </c>
      <c r="O11" s="90">
        <f t="shared" si="0"/>
        <v>6662092</v>
      </c>
      <c r="P11" s="83"/>
    </row>
    <row r="12" spans="1:16" ht="15.75" x14ac:dyDescent="0.25">
      <c r="A12" s="88">
        <f>DATE(2018,9,1)</f>
        <v>43344</v>
      </c>
      <c r="B12" s="89">
        <f>'MONTHLY STATS'!$C$11*2</f>
        <v>527226</v>
      </c>
      <c r="C12" s="89">
        <f>'MONTHLY STATS'!$C$25*2</f>
        <v>274524</v>
      </c>
      <c r="D12" s="89">
        <f>'MONTHLY STATS'!$C$39*2</f>
        <v>136402</v>
      </c>
      <c r="E12" s="89">
        <f>'MONTHLY STATS'!$C$53*2</f>
        <v>801390</v>
      </c>
      <c r="F12" s="89">
        <f>'MONTHLY STATS'!$C$67*2</f>
        <v>585910</v>
      </c>
      <c r="G12" s="89">
        <f>'MONTHLY STATS'!$C$81*2</f>
        <v>259142</v>
      </c>
      <c r="H12" s="89">
        <f>'MONTHLY STATS'!$C$95*2</f>
        <v>308386</v>
      </c>
      <c r="I12" s="89">
        <f>'MONTHLY STATS'!$C$109*2</f>
        <v>720672</v>
      </c>
      <c r="J12" s="89">
        <f>'MONTHLY STATS'!$C$123*2</f>
        <v>773024</v>
      </c>
      <c r="K12" s="89">
        <f>'MONTHLY STATS'!$C$137*2</f>
        <v>860976</v>
      </c>
      <c r="L12" s="89">
        <f>'MONTHLY STATS'!$C$151*2</f>
        <v>114782</v>
      </c>
      <c r="M12" s="89">
        <f>'MONTHLY STATS'!$C$165*2</f>
        <v>878080</v>
      </c>
      <c r="N12" s="89">
        <f>'MONTHLY STATS'!$C$179*2</f>
        <v>154184</v>
      </c>
      <c r="O12" s="90">
        <f t="shared" si="0"/>
        <v>6394698</v>
      </c>
      <c r="P12" s="83"/>
    </row>
    <row r="13" spans="1:16" ht="15.75" x14ac:dyDescent="0.25">
      <c r="A13" s="88">
        <f>DATE(2018,10,1)</f>
        <v>43374</v>
      </c>
      <c r="B13" s="89">
        <f>'MONTHLY STATS'!$C$12*2</f>
        <v>528486</v>
      </c>
      <c r="C13" s="89">
        <f>'MONTHLY STATS'!$C$26*2</f>
        <v>239874</v>
      </c>
      <c r="D13" s="89">
        <f>'MONTHLY STATS'!$C$40*2</f>
        <v>125608</v>
      </c>
      <c r="E13" s="89">
        <f>'MONTHLY STATS'!$C$54*2</f>
        <v>770770</v>
      </c>
      <c r="F13" s="89">
        <f>'MONTHLY STATS'!$C$68*2</f>
        <v>566214</v>
      </c>
      <c r="G13" s="89">
        <f>'MONTHLY STATS'!$C$82*2</f>
        <v>232470</v>
      </c>
      <c r="H13" s="89">
        <f>'MONTHLY STATS'!$C$96*2</f>
        <v>306350</v>
      </c>
      <c r="I13" s="89">
        <f>'MONTHLY STATS'!$C$110*2</f>
        <v>667538</v>
      </c>
      <c r="J13" s="89">
        <f>'MONTHLY STATS'!$C$124*2</f>
        <v>707714</v>
      </c>
      <c r="K13" s="89">
        <f>'MONTHLY STATS'!$C$138*2</f>
        <v>814702</v>
      </c>
      <c r="L13" s="89">
        <f>'MONTHLY STATS'!$C$152*2</f>
        <v>109940</v>
      </c>
      <c r="M13" s="89">
        <f>'MONTHLY STATS'!$C$166*2</f>
        <v>844574</v>
      </c>
      <c r="N13" s="89">
        <f>'MONTHLY STATS'!$C$180*2</f>
        <v>164446</v>
      </c>
      <c r="O13" s="90">
        <f t="shared" si="0"/>
        <v>6078686</v>
      </c>
      <c r="P13" s="83"/>
    </row>
    <row r="14" spans="1:16" ht="15.75" x14ac:dyDescent="0.25">
      <c r="A14" s="88">
        <f>DATE(2018,11,1)</f>
        <v>43405</v>
      </c>
      <c r="B14" s="89">
        <f>'MONTHLY STATS'!$C$13*2</f>
        <v>505736</v>
      </c>
      <c r="C14" s="89">
        <f>'MONTHLY STATS'!$C$27*2</f>
        <v>226774</v>
      </c>
      <c r="D14" s="89">
        <f>'MONTHLY STATS'!$C$41*2</f>
        <v>123920</v>
      </c>
      <c r="E14" s="89">
        <f>'MONTHLY STATS'!$C$55*2</f>
        <v>748692</v>
      </c>
      <c r="F14" s="89">
        <f>'MONTHLY STATS'!$C$69*2</f>
        <v>541974</v>
      </c>
      <c r="G14" s="89">
        <f>'MONTHLY STATS'!$C$83*2</f>
        <v>234588</v>
      </c>
      <c r="H14" s="89">
        <f>'MONTHLY STATS'!$C$97*2</f>
        <v>278218</v>
      </c>
      <c r="I14" s="89">
        <f>'MONTHLY STATS'!$C$111*2</f>
        <v>657620</v>
      </c>
      <c r="J14" s="89">
        <f>'MONTHLY STATS'!$C$125*2</f>
        <v>686024</v>
      </c>
      <c r="K14" s="89">
        <f>'MONTHLY STATS'!$C$139*2</f>
        <v>823882</v>
      </c>
      <c r="L14" s="89">
        <f>'MONTHLY STATS'!$C$153*2</f>
        <v>98056</v>
      </c>
      <c r="M14" s="89">
        <f>'MONTHLY STATS'!$C$167*2</f>
        <v>851054</v>
      </c>
      <c r="N14" s="89">
        <f>'MONTHLY STATS'!$C$181*2</f>
        <v>152606</v>
      </c>
      <c r="O14" s="90">
        <f t="shared" si="0"/>
        <v>5929144</v>
      </c>
      <c r="P14" s="83"/>
    </row>
    <row r="15" spans="1:16" ht="15.75" x14ac:dyDescent="0.25">
      <c r="A15" s="88">
        <f>DATE(2018,12,1)</f>
        <v>43435</v>
      </c>
      <c r="B15" s="89">
        <f>'MONTHLY STATS'!$C$14*2</f>
        <v>575366</v>
      </c>
      <c r="C15" s="89">
        <f>'MONTHLY STATS'!$C$28*2</f>
        <v>261914</v>
      </c>
      <c r="D15" s="89">
        <f>'MONTHLY STATS'!$C$42*2</f>
        <v>135604</v>
      </c>
      <c r="E15" s="89">
        <f>'MONTHLY STATS'!$C$56*2</f>
        <v>824096</v>
      </c>
      <c r="F15" s="89">
        <f>'MONTHLY STATS'!$C$70*2</f>
        <v>614368</v>
      </c>
      <c r="G15" s="89">
        <f>'MONTHLY STATS'!$C$84*2</f>
        <v>282812</v>
      </c>
      <c r="H15" s="89">
        <f>'MONTHLY STATS'!$C$98*2</f>
        <v>319492</v>
      </c>
      <c r="I15" s="89">
        <f>'MONTHLY STATS'!$C$112*2</f>
        <v>718736</v>
      </c>
      <c r="J15" s="89">
        <f>'MONTHLY STATS'!$C$126*2</f>
        <v>808174</v>
      </c>
      <c r="K15" s="89">
        <f>'MONTHLY STATS'!$C$140*2</f>
        <v>945840</v>
      </c>
      <c r="L15" s="89">
        <f>'MONTHLY STATS'!$C$154*2</f>
        <v>116294</v>
      </c>
      <c r="M15" s="89">
        <f>'MONTHLY STATS'!$C$168*2</f>
        <v>961778</v>
      </c>
      <c r="N15" s="89">
        <f>'MONTHLY STATS'!$C$182*2</f>
        <v>171156</v>
      </c>
      <c r="O15" s="90">
        <f t="shared" si="0"/>
        <v>6735630</v>
      </c>
      <c r="P15" s="83"/>
    </row>
    <row r="16" spans="1:16" ht="15.75" x14ac:dyDescent="0.25">
      <c r="A16" s="88">
        <f>DATE(2019,1,1)</f>
        <v>43466</v>
      </c>
      <c r="B16" s="89">
        <f>'MONTHLY STATS'!$C$15*2</f>
        <v>478572</v>
      </c>
      <c r="C16" s="89">
        <f>'MONTHLY STATS'!$C$29*2</f>
        <v>211408</v>
      </c>
      <c r="D16" s="89">
        <f>'MONTHLY STATS'!$C$43*2</f>
        <v>117486</v>
      </c>
      <c r="E16" s="89">
        <f>'MONTHLY STATS'!$C$57*2</f>
        <v>688058</v>
      </c>
      <c r="F16" s="89">
        <f>'MONTHLY STATS'!$C$71*2</f>
        <v>540938</v>
      </c>
      <c r="G16" s="89">
        <f>'MONTHLY STATS'!$C$85*2</f>
        <v>218668</v>
      </c>
      <c r="H16" s="89">
        <f>'MONTHLY STATS'!$C$99*2</f>
        <v>278602</v>
      </c>
      <c r="I16" s="89">
        <f>'MONTHLY STATS'!$C$113*2</f>
        <v>594274</v>
      </c>
      <c r="J16" s="89">
        <f>'MONTHLY STATS'!$C$127*2</f>
        <v>681682</v>
      </c>
      <c r="K16" s="89">
        <f>'MONTHLY STATS'!$C$141*2</f>
        <v>701034</v>
      </c>
      <c r="L16" s="89">
        <f>'MONTHLY STATS'!$C$155*2</f>
        <v>83514</v>
      </c>
      <c r="M16" s="89">
        <f>'MONTHLY STATS'!$C$169*2</f>
        <v>778150</v>
      </c>
      <c r="N16" s="89">
        <f>'MONTHLY STATS'!$C$183*2</f>
        <v>147536</v>
      </c>
      <c r="O16" s="90">
        <f>SUM(B16:N16)</f>
        <v>5519922</v>
      </c>
      <c r="P16" s="83"/>
    </row>
    <row r="17" spans="1:16" ht="15.75" x14ac:dyDescent="0.25">
      <c r="A17" s="88">
        <f>DATE(2019,2,1)</f>
        <v>43497</v>
      </c>
      <c r="B17" s="89">
        <f>'MONTHLY STATS'!$C$16*2</f>
        <v>472816</v>
      </c>
      <c r="C17" s="89">
        <f>'MONTHLY STATS'!$C$30*2</f>
        <v>238666</v>
      </c>
      <c r="D17" s="89">
        <f>'MONTHLY STATS'!$C$44*2</f>
        <v>124696</v>
      </c>
      <c r="E17" s="89">
        <f>'MONTHLY STATS'!$C$58*2</f>
        <v>768642</v>
      </c>
      <c r="F17" s="89">
        <f>'MONTHLY STATS'!$C$72*2</f>
        <v>516124</v>
      </c>
      <c r="G17" s="89">
        <f>'MONTHLY STATS'!$C$86*2</f>
        <v>243736</v>
      </c>
      <c r="H17" s="89">
        <f>'MONTHLY STATS'!$C$100*2</f>
        <v>284426</v>
      </c>
      <c r="I17" s="89">
        <f>'MONTHLY STATS'!$C$114*2</f>
        <v>596530</v>
      </c>
      <c r="J17" s="89">
        <f>'MONTHLY STATS'!$C$128*2</f>
        <v>686888</v>
      </c>
      <c r="K17" s="89">
        <f>'MONTHLY STATS'!$C$142*2</f>
        <v>784330</v>
      </c>
      <c r="L17" s="89">
        <f>'MONTHLY STATS'!$C$156*2</f>
        <v>97484</v>
      </c>
      <c r="M17" s="89">
        <f>'MONTHLY STATS'!$C$170*2</f>
        <v>799530</v>
      </c>
      <c r="N17" s="89">
        <f>'MONTHLY STATS'!$C$184*2</f>
        <v>159896</v>
      </c>
      <c r="O17" s="90">
        <f>SUM(B17:N17)</f>
        <v>5773764</v>
      </c>
      <c r="P17" s="83"/>
    </row>
    <row r="18" spans="1:16" ht="15.75" x14ac:dyDescent="0.25">
      <c r="A18" s="88">
        <f>DATE(2019,3,1)</f>
        <v>43525</v>
      </c>
      <c r="B18" s="89">
        <f>'MONTHLY STATS'!$C$17*2</f>
        <v>584118</v>
      </c>
      <c r="C18" s="89">
        <f>'MONTHLY STATS'!$C$31*2</f>
        <v>294450</v>
      </c>
      <c r="D18" s="89">
        <f>'MONTHLY STATS'!$C$45*2</f>
        <v>149640</v>
      </c>
      <c r="E18" s="89">
        <f>'MONTHLY STATS'!$C$59*2</f>
        <v>932366</v>
      </c>
      <c r="F18" s="89">
        <f>'MONTHLY STATS'!$C$73*2</f>
        <v>642176</v>
      </c>
      <c r="G18" s="89">
        <f>'MONTHLY STATS'!$C$87*2</f>
        <v>285490</v>
      </c>
      <c r="H18" s="89">
        <f>'MONTHLY STATS'!$C$101*2</f>
        <v>349722</v>
      </c>
      <c r="I18" s="89">
        <f>'MONTHLY STATS'!$C$115*2</f>
        <v>750876</v>
      </c>
      <c r="J18" s="89">
        <f>'MONTHLY STATS'!$C$129*2</f>
        <v>867654</v>
      </c>
      <c r="K18" s="89">
        <f>'MONTHLY STATS'!$C$143*2</f>
        <v>938980</v>
      </c>
      <c r="L18" s="89">
        <f>'MONTHLY STATS'!$C$157*2</f>
        <v>123356</v>
      </c>
      <c r="M18" s="89">
        <f>'MONTHLY STATS'!$C$171*2</f>
        <v>978224</v>
      </c>
      <c r="N18" s="89">
        <f>'MONTHLY STATS'!$C$185*2</f>
        <v>103180</v>
      </c>
      <c r="O18" s="90">
        <f>SUM(B18:N18)</f>
        <v>7000232</v>
      </c>
      <c r="P18" s="83"/>
    </row>
    <row r="19" spans="1:16" ht="15.75" x14ac:dyDescent="0.25">
      <c r="A19" s="88">
        <f>DATE(2019,4,1)</f>
        <v>43556</v>
      </c>
      <c r="B19" s="89">
        <f>'MONTHLY STATS'!$C$18*2</f>
        <v>493132</v>
      </c>
      <c r="C19" s="89">
        <f>'MONTHLY STATS'!$C$32*2</f>
        <v>240218</v>
      </c>
      <c r="D19" s="89">
        <f>'MONTHLY STATS'!$C$46*2</f>
        <v>126218</v>
      </c>
      <c r="E19" s="89">
        <f>'MONTHLY STATS'!$C$60*2</f>
        <v>751106</v>
      </c>
      <c r="F19" s="89">
        <f>'MONTHLY STATS'!$C$74*2</f>
        <v>563654</v>
      </c>
      <c r="G19" s="89">
        <f>'MONTHLY STATS'!$C$88*2</f>
        <v>229900</v>
      </c>
      <c r="H19" s="89">
        <f>'MONTHLY STATS'!$C$102*2</f>
        <v>302892</v>
      </c>
      <c r="I19" s="89">
        <f>'MONTHLY STATS'!$C$116*2</f>
        <v>629244</v>
      </c>
      <c r="J19" s="89">
        <f>'MONTHLY STATS'!$C$130*2</f>
        <v>696036</v>
      </c>
      <c r="K19" s="89">
        <f>'MONTHLY STATS'!$C$144*2</f>
        <v>740208</v>
      </c>
      <c r="L19" s="89">
        <f>'MONTHLY STATS'!$C$158*2</f>
        <v>105268</v>
      </c>
      <c r="M19" s="89">
        <f>'MONTHLY STATS'!$C$172*2</f>
        <v>841238</v>
      </c>
      <c r="N19" s="89">
        <f>'MONTHLY STATS'!$C$186*2</f>
        <v>47834</v>
      </c>
      <c r="O19" s="90">
        <f>SUM(B19:N19)</f>
        <v>5766948</v>
      </c>
      <c r="P19" s="83"/>
    </row>
    <row r="20" spans="1:16" ht="15.75" x14ac:dyDescent="0.25">
      <c r="A20" s="88">
        <f>DATE(2019,5,1)</f>
        <v>43586</v>
      </c>
      <c r="B20" s="89">
        <f>'MONTHLY STATS'!$C$19*2</f>
        <v>529198</v>
      </c>
      <c r="C20" s="89">
        <f>'MONTHLY STATS'!$C$33*2</f>
        <v>261240</v>
      </c>
      <c r="D20" s="89">
        <f>'MONTHLY STATS'!$C$47*2</f>
        <v>136666</v>
      </c>
      <c r="E20" s="89">
        <f>'MONTHLY STATS'!$C$61*2</f>
        <v>855754</v>
      </c>
      <c r="F20" s="89">
        <f>'MONTHLY STATS'!$C$75*2</f>
        <v>602966</v>
      </c>
      <c r="G20" s="89">
        <f>'MONTHLY STATS'!$C$89*2</f>
        <v>238004</v>
      </c>
      <c r="H20" s="89">
        <f>'MONTHLY STATS'!$C$103*2</f>
        <v>322948</v>
      </c>
      <c r="I20" s="89">
        <f>'MONTHLY STATS'!$C$117*2</f>
        <v>676936</v>
      </c>
      <c r="J20" s="89">
        <f>'MONTHLY STATS'!$C$131*2</f>
        <v>740608</v>
      </c>
      <c r="K20" s="89">
        <f>'MONTHLY STATS'!$C$145*2</f>
        <v>813128</v>
      </c>
      <c r="L20" s="89">
        <f>'MONTHLY STATS'!$C$159*2</f>
        <v>106642</v>
      </c>
      <c r="M20" s="89">
        <f>'MONTHLY STATS'!$C$173*2</f>
        <v>914852</v>
      </c>
      <c r="N20" s="89">
        <f>'MONTHLY STATS'!$C$187*2</f>
        <v>136840</v>
      </c>
      <c r="O20" s="90">
        <f>SUM(B20:N20)</f>
        <v>6335782</v>
      </c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5750296</v>
      </c>
      <c r="C23" s="90">
        <f t="shared" si="1"/>
        <v>2809612</v>
      </c>
      <c r="D23" s="90">
        <f t="shared" si="1"/>
        <v>1463208</v>
      </c>
      <c r="E23" s="90">
        <f t="shared" si="1"/>
        <v>8981802</v>
      </c>
      <c r="F23" s="90">
        <f t="shared" si="1"/>
        <v>6336922</v>
      </c>
      <c r="G23" s="90">
        <f>SUM(G10:G21)</f>
        <v>2724850</v>
      </c>
      <c r="H23" s="90">
        <f t="shared" si="1"/>
        <v>3401766</v>
      </c>
      <c r="I23" s="90">
        <f>SUM(I10:I21)</f>
        <v>7539080</v>
      </c>
      <c r="J23" s="90">
        <f t="shared" si="1"/>
        <v>8286578</v>
      </c>
      <c r="K23" s="90">
        <f>SUM(K10:K21)</f>
        <v>9154292</v>
      </c>
      <c r="L23" s="90">
        <f t="shared" si="1"/>
        <v>1205212</v>
      </c>
      <c r="M23" s="90">
        <f t="shared" si="1"/>
        <v>9737608</v>
      </c>
      <c r="N23" s="90">
        <f t="shared" si="1"/>
        <v>1570152</v>
      </c>
      <c r="O23" s="90">
        <f t="shared" si="1"/>
        <v>68961378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DATE(2018,7,1)</f>
        <v>43282</v>
      </c>
      <c r="B31" s="89">
        <f>'MONTHLY STATS'!$K$9*0.21</f>
        <v>2808760.5189</v>
      </c>
      <c r="C31" s="89">
        <f>'MONTHLY STATS'!$K$23*0.21</f>
        <v>1548718.5545999999</v>
      </c>
      <c r="D31" s="89">
        <f>'MONTHLY STATS'!$K$37*0.21</f>
        <v>685642.40850000002</v>
      </c>
      <c r="E31" s="89">
        <f>'MONTHLY STATS'!$K$51*0.21</f>
        <v>4237819.6182000004</v>
      </c>
      <c r="F31" s="89">
        <f>'MONTHLY STATS'!$K$65*0.21</f>
        <v>3127962.4383</v>
      </c>
      <c r="G31" s="89">
        <f>'MONTHLY STATS'!$K$79*0.21</f>
        <v>1095967.4354999999</v>
      </c>
      <c r="H31" s="89">
        <f>'MONTHLY STATS'!$K$93*0.21</f>
        <v>1213029.2600999998</v>
      </c>
      <c r="I31" s="89">
        <f>'MONTHLY STATS'!$K$107*0.21</f>
        <v>2819522.3153999997</v>
      </c>
      <c r="J31" s="89">
        <f>'MONTHLY STATS'!$K$121*0.21</f>
        <v>3701990.1891000001</v>
      </c>
      <c r="K31" s="89">
        <f>'MONTHLY STATS'!$K$135*0.21</f>
        <v>4113304.1313</v>
      </c>
      <c r="L31" s="89">
        <f>'MONTHLY STATS'!$K$149*0.21</f>
        <v>592155.43590000004</v>
      </c>
      <c r="M31" s="89">
        <f>'MONTHLY STATS'!$K$163*0.21</f>
        <v>4918106.7138</v>
      </c>
      <c r="N31" s="89">
        <f>'MONTHLY STATS'!$K$177*0.21</f>
        <v>755284.42499999993</v>
      </c>
      <c r="O31" s="90">
        <f t="shared" ref="O31:O36" si="2">SUM(B31:N31)</f>
        <v>31618263.444599997</v>
      </c>
      <c r="P31" s="83"/>
    </row>
    <row r="32" spans="1:16" ht="15.75" x14ac:dyDescent="0.25">
      <c r="A32" s="88">
        <f>DATE(2018,8,1)</f>
        <v>43313</v>
      </c>
      <c r="B32" s="89">
        <f>'MONTHLY STATS'!$K$10*0.21</f>
        <v>2931159.3863999997</v>
      </c>
      <c r="C32" s="89">
        <f>'MONTHLY STATS'!$K$24*0.21</f>
        <v>1490706.2645999999</v>
      </c>
      <c r="D32" s="89">
        <f>'MONTHLY STATS'!$K$38*0.21</f>
        <v>656176.97459999996</v>
      </c>
      <c r="E32" s="89">
        <f>'MONTHLY STATS'!$K$52*0.21</f>
        <v>4286184.1553999996</v>
      </c>
      <c r="F32" s="89">
        <f>'MONTHLY STATS'!$K$66*0.21</f>
        <v>3063779.8274999997</v>
      </c>
      <c r="G32" s="89">
        <f>'MONTHLY STATS'!$K$80*0.21</f>
        <v>1105283.0607</v>
      </c>
      <c r="H32" s="89">
        <f>'MONTHLY STATS'!$K$94*0.21</f>
        <v>1168175.9922</v>
      </c>
      <c r="I32" s="89">
        <f>'MONTHLY STATS'!$K$108*0.21</f>
        <v>2941388.9526</v>
      </c>
      <c r="J32" s="89">
        <f>'MONTHLY STATS'!$K$122*0.21</f>
        <v>3737886.2913000002</v>
      </c>
      <c r="K32" s="89">
        <f>'MONTHLY STATS'!$K$136*0.21</f>
        <v>4005327.3665999998</v>
      </c>
      <c r="L32" s="89">
        <f>'MONTHLY STATS'!$K$150*0.21</f>
        <v>583714.44809999992</v>
      </c>
      <c r="M32" s="89">
        <f>'MONTHLY STATS'!$K$164*0.21</f>
        <v>4995318.5750999991</v>
      </c>
      <c r="N32" s="89">
        <f>'MONTHLY STATS'!$K$178*0.21</f>
        <v>764230.7588999999</v>
      </c>
      <c r="O32" s="90">
        <f t="shared" si="2"/>
        <v>31729332.053999998</v>
      </c>
      <c r="P32" s="83"/>
    </row>
    <row r="33" spans="1:16" ht="15.75" x14ac:dyDescent="0.25">
      <c r="A33" s="88">
        <f>DATE(2018,9,1)</f>
        <v>43344</v>
      </c>
      <c r="B33" s="89">
        <f>'MONTHLY STATS'!$K$11*0.21</f>
        <v>2842581.483</v>
      </c>
      <c r="C33" s="89">
        <f>'MONTHLY STATS'!$K$25*0.21</f>
        <v>1368145.2161999999</v>
      </c>
      <c r="D33" s="89">
        <f>'MONTHLY STATS'!$K$39*0.21</f>
        <v>656634.22439999995</v>
      </c>
      <c r="E33" s="89">
        <f>'MONTHLY STATS'!$K$53*0.21</f>
        <v>4079116.23</v>
      </c>
      <c r="F33" s="89">
        <f>'MONTHLY STATS'!$K$67*0.21</f>
        <v>3198835.7645999999</v>
      </c>
      <c r="G33" s="89">
        <f>'MONTHLY STATS'!$K$81*0.21</f>
        <v>1062033.5711999999</v>
      </c>
      <c r="H33" s="89">
        <f>'MONTHLY STATS'!$K$95*0.21</f>
        <v>1128829.0229999998</v>
      </c>
      <c r="I33" s="89">
        <f>'MONTHLY STATS'!$K$109*0.21</f>
        <v>2791439.5508999997</v>
      </c>
      <c r="J33" s="89">
        <f>'MONTHLY STATS'!$K$123*0.21</f>
        <v>3485934.8369999998</v>
      </c>
      <c r="K33" s="89">
        <f>'MONTHLY STATS'!$K$137*0.21</f>
        <v>3820579.0244999998</v>
      </c>
      <c r="L33" s="89">
        <f>'MONTHLY STATS'!$K$151*0.21</f>
        <v>549592.94669999997</v>
      </c>
      <c r="M33" s="89">
        <f>'MONTHLY STATS'!$K$165*0.21</f>
        <v>4551602.0633999994</v>
      </c>
      <c r="N33" s="89">
        <f>'MONTHLY STATS'!$K$179*0.21</f>
        <v>718634.49</v>
      </c>
      <c r="O33" s="90">
        <f t="shared" si="2"/>
        <v>30253958.424899999</v>
      </c>
      <c r="P33" s="83"/>
    </row>
    <row r="34" spans="1:16" ht="15.75" x14ac:dyDescent="0.25">
      <c r="A34" s="88">
        <f>DATE(2018,10,1)</f>
        <v>43374</v>
      </c>
      <c r="B34" s="89">
        <f>'MONTHLY STATS'!$K$12*0.21</f>
        <v>2932705.0998</v>
      </c>
      <c r="C34" s="89">
        <f>'MONTHLY STATS'!$K$26*0.21</f>
        <v>1332895.5926999999</v>
      </c>
      <c r="D34" s="89">
        <f>'MONTHLY STATS'!$K$40*0.21</f>
        <v>597855.25379999995</v>
      </c>
      <c r="E34" s="89">
        <f>'MONTHLY STATS'!$K$54*0.21</f>
        <v>3812123.9772000001</v>
      </c>
      <c r="F34" s="89">
        <f>'MONTHLY STATS'!$K$68*0.21</f>
        <v>3083020.5230999999</v>
      </c>
      <c r="G34" s="89">
        <f>'MONTHLY STATS'!$K$82*0.21</f>
        <v>1037313.7824</v>
      </c>
      <c r="H34" s="89">
        <f>'MONTHLY STATS'!$K$96*0.21</f>
        <v>1103831.1479999998</v>
      </c>
      <c r="I34" s="89">
        <f>'MONTHLY STATS'!$K$110*0.21</f>
        <v>2792473.4586</v>
      </c>
      <c r="J34" s="89">
        <f>'MONTHLY STATS'!$K$124*0.21</f>
        <v>3165607.3155</v>
      </c>
      <c r="K34" s="89">
        <f>'MONTHLY STATS'!$K$138*0.21</f>
        <v>3519336.1875</v>
      </c>
      <c r="L34" s="89">
        <f>'MONTHLY STATS'!$K$152*0.21</f>
        <v>532447.41479999991</v>
      </c>
      <c r="M34" s="89">
        <f>'MONTHLY STATS'!$K$166*0.21</f>
        <v>4358384.9546999997</v>
      </c>
      <c r="N34" s="89">
        <f>'MONTHLY STATS'!$K$180*0.21</f>
        <v>712448.71530000004</v>
      </c>
      <c r="O34" s="90">
        <f t="shared" si="2"/>
        <v>28980443.4234</v>
      </c>
      <c r="P34" s="83"/>
    </row>
    <row r="35" spans="1:16" ht="15.75" x14ac:dyDescent="0.25">
      <c r="A35" s="88">
        <f>DATE(2018,11,1)</f>
        <v>43405</v>
      </c>
      <c r="B35" s="89">
        <f>'MONTHLY STATS'!$K$13*0.21</f>
        <v>2874984.1973999999</v>
      </c>
      <c r="C35" s="89">
        <f>'MONTHLY STATS'!$K$27*0.21</f>
        <v>1213355.4699000001</v>
      </c>
      <c r="D35" s="89">
        <f>'MONTHLY STATS'!$K$41*0.21</f>
        <v>598998.75209999993</v>
      </c>
      <c r="E35" s="89">
        <f>'MONTHLY STATS'!$K$55*0.21</f>
        <v>3727875.3497999995</v>
      </c>
      <c r="F35" s="89">
        <f>'MONTHLY STATS'!$K$69*0.21</f>
        <v>2897852.8362000003</v>
      </c>
      <c r="G35" s="89">
        <f>'MONTHLY STATS'!$K$83*0.21</f>
        <v>1029320.0547</v>
      </c>
      <c r="H35" s="89">
        <f>'MONTHLY STATS'!$K$97*0.21</f>
        <v>1065057.3108000001</v>
      </c>
      <c r="I35" s="89">
        <f>'MONTHLY STATS'!$K$111*0.21</f>
        <v>2691780.5754</v>
      </c>
      <c r="J35" s="89">
        <f>'MONTHLY STATS'!$K$125*0.21</f>
        <v>3111514.0496999999</v>
      </c>
      <c r="K35" s="89">
        <f>'MONTHLY STATS'!$K$139*0.21</f>
        <v>4096717.6866000001</v>
      </c>
      <c r="L35" s="89">
        <f>'MONTHLY STATS'!$K$153*0.21</f>
        <v>504987.98489999998</v>
      </c>
      <c r="M35" s="89">
        <f>'MONTHLY STATS'!$K$167*0.21</f>
        <v>4491364.5399000002</v>
      </c>
      <c r="N35" s="89">
        <f>'MONTHLY STATS'!$K$181*0.21</f>
        <v>706959.92850000004</v>
      </c>
      <c r="O35" s="90">
        <f t="shared" si="2"/>
        <v>29010768.735900003</v>
      </c>
      <c r="P35" s="83"/>
    </row>
    <row r="36" spans="1:16" ht="15.75" x14ac:dyDescent="0.25">
      <c r="A36" s="88">
        <f>DATE(2018,12,1)</f>
        <v>43435</v>
      </c>
      <c r="B36" s="89">
        <f>'MONTHLY STATS'!$K$14*0.21</f>
        <v>3213490.6628999999</v>
      </c>
      <c r="C36" s="89">
        <f>'MONTHLY STATS'!$K$28*0.21</f>
        <v>1414575.9431999999</v>
      </c>
      <c r="D36" s="89">
        <f>'MONTHLY STATS'!$K$42*0.21</f>
        <v>682107.81449999998</v>
      </c>
      <c r="E36" s="89">
        <f>'MONTHLY STATS'!$K$56*0.21</f>
        <v>4059527.6378999995</v>
      </c>
      <c r="F36" s="89">
        <f>'MONTHLY STATS'!$K$70*0.21</f>
        <v>3273280.9893</v>
      </c>
      <c r="G36" s="89">
        <f>'MONTHLY STATS'!$K$84*0.21</f>
        <v>1156960.9149</v>
      </c>
      <c r="H36" s="89">
        <f>'MONTHLY STATS'!$K$98*0.21</f>
        <v>1172315.1551999999</v>
      </c>
      <c r="I36" s="89">
        <f>'MONTHLY STATS'!$K$112*0.21</f>
        <v>2931099.2990999999</v>
      </c>
      <c r="J36" s="89">
        <f>'MONTHLY STATS'!$K$126*0.21</f>
        <v>3547985.0825999994</v>
      </c>
      <c r="K36" s="89">
        <f>'MONTHLY STATS'!$K$140*0.21</f>
        <v>4317409.8617999991</v>
      </c>
      <c r="L36" s="89">
        <f>'MONTHLY STATS'!$K$154*0.21</f>
        <v>548503.98329999996</v>
      </c>
      <c r="M36" s="89">
        <f>'MONTHLY STATS'!$K$168*0.21</f>
        <v>4838210.307</v>
      </c>
      <c r="N36" s="89">
        <f>'MONTHLY STATS'!$K$182*0.21</f>
        <v>790435.37159999995</v>
      </c>
      <c r="O36" s="90">
        <f t="shared" si="2"/>
        <v>31945903.0233</v>
      </c>
      <c r="P36" s="83"/>
    </row>
    <row r="37" spans="1:16" ht="15.75" x14ac:dyDescent="0.25">
      <c r="A37" s="88">
        <f>DATE(2019,1,1)</f>
        <v>43466</v>
      </c>
      <c r="B37" s="89">
        <f>'MONTHLY STATS'!$K$15*0.21</f>
        <v>2622449.7725999998</v>
      </c>
      <c r="C37" s="89">
        <f>'MONTHLY STATS'!$K$29*0.21</f>
        <v>1092520.7097</v>
      </c>
      <c r="D37" s="89">
        <f>'MONTHLY STATS'!$K$43*0.21</f>
        <v>581745.95849999995</v>
      </c>
      <c r="E37" s="89">
        <f>'MONTHLY STATS'!$K$57*0.21</f>
        <v>3446640.3551999996</v>
      </c>
      <c r="F37" s="89">
        <f>'MONTHLY STATS'!$K$71*0.21</f>
        <v>2628303.6758999997</v>
      </c>
      <c r="G37" s="89">
        <f>'MONTHLY STATS'!$K$85*0.21</f>
        <v>1002437.9147999999</v>
      </c>
      <c r="H37" s="89">
        <f>'MONTHLY STATS'!$K$99*0.21</f>
        <v>1005572.7800999999</v>
      </c>
      <c r="I37" s="89">
        <f>'MONTHLY STATS'!$K$113*0.21</f>
        <v>2623713.9516000003</v>
      </c>
      <c r="J37" s="89">
        <f>'MONTHLY STATS'!$K$127*0.21</f>
        <v>2960617.9805999999</v>
      </c>
      <c r="K37" s="89">
        <f>'MONTHLY STATS'!$K$141*0.21</f>
        <v>3376836.8823000002</v>
      </c>
      <c r="L37" s="89">
        <f>'MONTHLY STATS'!$K$155*0.21</f>
        <v>431652.47369999997</v>
      </c>
      <c r="M37" s="89">
        <f>'MONTHLY STATS'!$K$169*0.21</f>
        <v>4001448.6392999995</v>
      </c>
      <c r="N37" s="89">
        <f>'MONTHLY STATS'!$K$183*0.21</f>
        <v>700345.95329999994</v>
      </c>
      <c r="O37" s="90">
        <f>SUM(B37:N37)</f>
        <v>26474287.047599997</v>
      </c>
      <c r="P37" s="83"/>
    </row>
    <row r="38" spans="1:16" ht="15.75" x14ac:dyDescent="0.25">
      <c r="A38" s="88">
        <f>DATE(2019,2,1)</f>
        <v>43497</v>
      </c>
      <c r="B38" s="89">
        <f>'MONTHLY STATS'!$K$16*0.21</f>
        <v>2623993.1045999997</v>
      </c>
      <c r="C38" s="89">
        <f>'MONTHLY STATS'!$K$30*0.21</f>
        <v>1309996.2686999999</v>
      </c>
      <c r="D38" s="89">
        <f>'MONTHLY STATS'!$K$44*0.21</f>
        <v>610229.68440000003</v>
      </c>
      <c r="E38" s="89">
        <f>'MONTHLY STATS'!$K$58*0.21</f>
        <v>3904587.6743999999</v>
      </c>
      <c r="F38" s="89">
        <f>'MONTHLY STATS'!$K$72*0.21</f>
        <v>2567812.3169999998</v>
      </c>
      <c r="G38" s="89">
        <f>'MONTHLY STATS'!$K$86*0.21</f>
        <v>1068621.8466</v>
      </c>
      <c r="H38" s="89">
        <f>'MONTHLY STATS'!$K$100*0.21</f>
        <v>1091789.7416999999</v>
      </c>
      <c r="I38" s="89">
        <f>'MONTHLY STATS'!$K$114*0.21</f>
        <v>2572574.9783999999</v>
      </c>
      <c r="J38" s="89">
        <f>'MONTHLY STATS'!$K$128*0.21</f>
        <v>3136225.9572000001</v>
      </c>
      <c r="K38" s="89">
        <f>'MONTHLY STATS'!$K$142*0.21</f>
        <v>3665360.6388000003</v>
      </c>
      <c r="L38" s="89">
        <f>'MONTHLY STATS'!$K$156*0.21</f>
        <v>512477.47319999995</v>
      </c>
      <c r="M38" s="89">
        <f>'MONTHLY STATS'!$K$170*0.21</f>
        <v>4387331.7200999996</v>
      </c>
      <c r="N38" s="89">
        <f>'MONTHLY STATS'!$K$184*0.21</f>
        <v>747519.3263999999</v>
      </c>
      <c r="O38" s="90">
        <f>SUM(B38:N38)</f>
        <v>28198520.7315</v>
      </c>
      <c r="P38" s="83"/>
    </row>
    <row r="39" spans="1:16" ht="15.75" x14ac:dyDescent="0.25">
      <c r="A39" s="88">
        <f>DATE(2019,3,1)</f>
        <v>43525</v>
      </c>
      <c r="B39" s="89">
        <f>'MONTHLY STATS'!$K$17*0.21</f>
        <v>3247536.1233000001</v>
      </c>
      <c r="C39" s="89">
        <f>'MONTHLY STATS'!$K$31*0.21</f>
        <v>1649339.9748</v>
      </c>
      <c r="D39" s="89">
        <f>'MONTHLY STATS'!$K$45*0.21</f>
        <v>805924.5872999999</v>
      </c>
      <c r="E39" s="89">
        <f>'MONTHLY STATS'!$K$59*0.21</f>
        <v>4826460.2253</v>
      </c>
      <c r="F39" s="89">
        <f>'MONTHLY STATS'!$K$73*0.21</f>
        <v>3772800.5678999997</v>
      </c>
      <c r="G39" s="89">
        <f>'MONTHLY STATS'!$K$87*0.21</f>
        <v>1298138.8811999999</v>
      </c>
      <c r="H39" s="89">
        <f>'MONTHLY STATS'!$K$101*0.21</f>
        <v>1382487.2984999998</v>
      </c>
      <c r="I39" s="89">
        <f>'MONTHLY STATS'!$K$115*0.21</f>
        <v>3327844.4808</v>
      </c>
      <c r="J39" s="89">
        <f>'MONTHLY STATS'!$K$129*0.21</f>
        <v>3920219.8769999999</v>
      </c>
      <c r="K39" s="89">
        <f>'MONTHLY STATS'!$K$143*0.21</f>
        <v>4378338.3797999993</v>
      </c>
      <c r="L39" s="89">
        <f>'MONTHLY STATS'!$K$157*0.21</f>
        <v>646677.80099999998</v>
      </c>
      <c r="M39" s="89">
        <f>'MONTHLY STATS'!$K$171*0.21</f>
        <v>5215949.9300999995</v>
      </c>
      <c r="N39" s="89">
        <f>'MONTHLY STATS'!$K$185*0.21</f>
        <v>478042.85969999997</v>
      </c>
      <c r="O39" s="90">
        <f>SUM(B39:N39)</f>
        <v>34949760.986699998</v>
      </c>
      <c r="P39" s="83"/>
    </row>
    <row r="40" spans="1:16" ht="15.75" x14ac:dyDescent="0.25">
      <c r="A40" s="88">
        <f>DATE(2019,4,1)</f>
        <v>43556</v>
      </c>
      <c r="B40" s="89">
        <f>'MONTHLY STATS'!$K$18*0.21</f>
        <v>2779686.4556999998</v>
      </c>
      <c r="C40" s="89">
        <f>'MONTHLY STATS'!$K$32*0.21</f>
        <v>1301373.0156</v>
      </c>
      <c r="D40" s="89">
        <f>'MONTHLY STATS'!$K$46*0.21</f>
        <v>655515.48299999989</v>
      </c>
      <c r="E40" s="89">
        <f>'MONTHLY STATS'!$K$60*0.21</f>
        <v>3950132.1908999998</v>
      </c>
      <c r="F40" s="89">
        <f>'MONTHLY STATS'!$K$74*0.21</f>
        <v>3015147.4142999998</v>
      </c>
      <c r="G40" s="89">
        <f>'MONTHLY STATS'!$K$88*0.21</f>
        <v>1082804.2008</v>
      </c>
      <c r="H40" s="89">
        <f>'MONTHLY STATS'!$K$102*0.21</f>
        <v>1196176.6740000001</v>
      </c>
      <c r="I40" s="89">
        <f>'MONTHLY STATS'!$K$116*0.21</f>
        <v>2704067.1923999996</v>
      </c>
      <c r="J40" s="89">
        <f>'MONTHLY STATS'!$K$130*0.21</f>
        <v>3335451.4934999999</v>
      </c>
      <c r="K40" s="89">
        <f>'MONTHLY STATS'!$K$144*0.21</f>
        <v>3712898.4416999999</v>
      </c>
      <c r="L40" s="89">
        <f>'MONTHLY STATS'!$K$158*0.21</f>
        <v>529550.02590000001</v>
      </c>
      <c r="M40" s="89">
        <f>'MONTHLY STATS'!$K$172*0.21</f>
        <v>4733142.0464999992</v>
      </c>
      <c r="N40" s="89">
        <f>'MONTHLY STATS'!$K$186*0.21</f>
        <v>265205.92560000002</v>
      </c>
      <c r="O40" s="90">
        <f>SUM(B40:N40)</f>
        <v>29261150.559900001</v>
      </c>
      <c r="P40" s="83"/>
    </row>
    <row r="41" spans="1:16" ht="15.75" x14ac:dyDescent="0.25">
      <c r="A41" s="88">
        <f>DATE(2019,5,1)</f>
        <v>43586</v>
      </c>
      <c r="B41" s="89">
        <f>'MONTHLY STATS'!$K$19*0.21</f>
        <v>3044961.7841999996</v>
      </c>
      <c r="C41" s="89">
        <f>'MONTHLY STATS'!$K$33*0.21</f>
        <v>1442327.6595000001</v>
      </c>
      <c r="D41" s="89">
        <f>'MONTHLY STATS'!$K$47*0.21</f>
        <v>679851.9399</v>
      </c>
      <c r="E41" s="89">
        <f>'MONTHLY STATS'!$K$61*0.21</f>
        <v>4381682.9930999996</v>
      </c>
      <c r="F41" s="89">
        <f>'MONTHLY STATS'!$K$75*0.21</f>
        <v>3647489.4896999998</v>
      </c>
      <c r="G41" s="89">
        <f>'MONTHLY STATS'!$K$89*0.21</f>
        <v>1091248.0593000001</v>
      </c>
      <c r="H41" s="89">
        <f>'MONTHLY STATS'!$K$103*0.21</f>
        <v>1275864.0363</v>
      </c>
      <c r="I41" s="89">
        <f>'MONTHLY STATS'!$K$117*0.21</f>
        <v>2998775.2241999996</v>
      </c>
      <c r="J41" s="89">
        <f>'MONTHLY STATS'!$K$131*0.21</f>
        <v>3552243.0216000001</v>
      </c>
      <c r="K41" s="89">
        <f>'MONTHLY STATS'!$K$145*0.21</f>
        <v>3757918.4894999997</v>
      </c>
      <c r="L41" s="89">
        <f>'MONTHLY STATS'!$K$159*0.21</f>
        <v>528178.38360000006</v>
      </c>
      <c r="M41" s="89">
        <f>'MONTHLY STATS'!$K$173*0.21</f>
        <v>4946774.9352000002</v>
      </c>
      <c r="N41" s="89">
        <f>'MONTHLY STATS'!$K$187*0.21</f>
        <v>677802.15299999993</v>
      </c>
      <c r="O41" s="90">
        <f>SUM(B41:N41)</f>
        <v>32025118.169100005</v>
      </c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31922308.588799998</v>
      </c>
      <c r="C44" s="90">
        <f t="shared" si="3"/>
        <v>15163954.669499997</v>
      </c>
      <c r="D44" s="90">
        <f t="shared" si="3"/>
        <v>7210683.0809999993</v>
      </c>
      <c r="E44" s="90">
        <f t="shared" si="3"/>
        <v>44712150.407399997</v>
      </c>
      <c r="F44" s="90">
        <f t="shared" si="3"/>
        <v>34276285.843799993</v>
      </c>
      <c r="G44" s="90">
        <f t="shared" si="3"/>
        <v>12030129.722100001</v>
      </c>
      <c r="H44" s="90">
        <f t="shared" si="3"/>
        <v>12803128.4199</v>
      </c>
      <c r="I44" s="90">
        <f>SUM(I31:I42)</f>
        <v>31194679.979399998</v>
      </c>
      <c r="J44" s="90">
        <f t="shared" si="3"/>
        <v>37655676.095099993</v>
      </c>
      <c r="K44" s="90">
        <f>SUM(K31:K42)</f>
        <v>42764027.090399995</v>
      </c>
      <c r="L44" s="90">
        <f t="shared" si="3"/>
        <v>5959938.3711000001</v>
      </c>
      <c r="M44" s="90">
        <f t="shared" si="3"/>
        <v>51437634.425099999</v>
      </c>
      <c r="N44" s="90">
        <f t="shared" si="3"/>
        <v>7316909.9072999991</v>
      </c>
      <c r="O44" s="90">
        <f t="shared" si="3"/>
        <v>334447506.60089993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6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72</v>
      </c>
      <c r="B3" s="117"/>
      <c r="C3" s="200"/>
      <c r="D3" s="200"/>
      <c r="E3" s="200"/>
      <c r="F3" s="117"/>
      <c r="G3" s="210"/>
    </row>
    <row r="4" spans="1:8" x14ac:dyDescent="0.2">
      <c r="A4" s="284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 t="shared" ref="F9:F19" si="0">(+D9-E9)/E9</f>
        <v>4.7067718595550589E-2</v>
      </c>
      <c r="G9" s="215">
        <f t="shared" ref="G9:G19" si="1">D9/C9</f>
        <v>0.17770472157927492</v>
      </c>
      <c r="H9" s="123"/>
    </row>
    <row r="10" spans="1:8" ht="15.75" x14ac:dyDescent="0.2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 t="shared" si="0"/>
        <v>7.7601796307276871E-2</v>
      </c>
      <c r="G10" s="215">
        <f t="shared" si="1"/>
        <v>0.15893507234459484</v>
      </c>
      <c r="H10" s="123"/>
    </row>
    <row r="11" spans="1:8" ht="15.75" x14ac:dyDescent="0.2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 t="shared" si="0"/>
        <v>0.16567087479552939</v>
      </c>
      <c r="G11" s="215">
        <f t="shared" si="1"/>
        <v>0.20715740187015314</v>
      </c>
      <c r="H11" s="123"/>
    </row>
    <row r="12" spans="1:8" ht="15.75" x14ac:dyDescent="0.25">
      <c r="A12" s="130"/>
      <c r="B12" s="131">
        <f>DATE(2018,10,1)</f>
        <v>43374</v>
      </c>
      <c r="C12" s="204">
        <v>10436409</v>
      </c>
      <c r="D12" s="204">
        <v>2198521</v>
      </c>
      <c r="E12" s="204">
        <v>1651958.5</v>
      </c>
      <c r="F12" s="132">
        <f t="shared" si="0"/>
        <v>0.33085728243173179</v>
      </c>
      <c r="G12" s="215">
        <f t="shared" si="1"/>
        <v>0.21065876203203612</v>
      </c>
      <c r="H12" s="123"/>
    </row>
    <row r="13" spans="1:8" ht="15.75" x14ac:dyDescent="0.2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 t="shared" si="0"/>
        <v>5.1724882660930456E-2</v>
      </c>
      <c r="G13" s="215">
        <f t="shared" si="1"/>
        <v>0.22544066055174464</v>
      </c>
      <c r="H13" s="123"/>
    </row>
    <row r="14" spans="1:8" ht="15.75" x14ac:dyDescent="0.25">
      <c r="A14" s="130"/>
      <c r="B14" s="131">
        <f>DATE(2018,12,1)</f>
        <v>43435</v>
      </c>
      <c r="C14" s="204">
        <v>11926428</v>
      </c>
      <c r="D14" s="204">
        <v>2548450</v>
      </c>
      <c r="E14" s="204">
        <v>1815083.5</v>
      </c>
      <c r="F14" s="132">
        <f t="shared" si="0"/>
        <v>0.40404008961571192</v>
      </c>
      <c r="G14" s="215">
        <f t="shared" si="1"/>
        <v>0.21368091099866615</v>
      </c>
      <c r="H14" s="123"/>
    </row>
    <row r="15" spans="1:8" ht="15.75" x14ac:dyDescent="0.25">
      <c r="A15" s="130"/>
      <c r="B15" s="131">
        <f>DATE(2019,1,1)</f>
        <v>43466</v>
      </c>
      <c r="C15" s="204">
        <v>10847299</v>
      </c>
      <c r="D15" s="204">
        <v>2049686.5</v>
      </c>
      <c r="E15" s="204">
        <v>1650734.5</v>
      </c>
      <c r="F15" s="132">
        <f t="shared" si="0"/>
        <v>0.24168150602050179</v>
      </c>
      <c r="G15" s="215">
        <f t="shared" si="1"/>
        <v>0.18895823743772527</v>
      </c>
      <c r="H15" s="123"/>
    </row>
    <row r="16" spans="1:8" ht="15.75" x14ac:dyDescent="0.25">
      <c r="A16" s="130"/>
      <c r="B16" s="131">
        <f>DATE(2019,2,1)</f>
        <v>43497</v>
      </c>
      <c r="C16" s="204">
        <v>9528168</v>
      </c>
      <c r="D16" s="204">
        <v>1917312.5</v>
      </c>
      <c r="E16" s="204">
        <v>2102175.5</v>
      </c>
      <c r="F16" s="132">
        <f t="shared" si="0"/>
        <v>-8.7938899487697383E-2</v>
      </c>
      <c r="G16" s="215">
        <f t="shared" si="1"/>
        <v>0.20122572355987006</v>
      </c>
      <c r="H16" s="123"/>
    </row>
    <row r="17" spans="1:8" ht="15.75" x14ac:dyDescent="0.25">
      <c r="A17" s="130"/>
      <c r="B17" s="131">
        <f>DATE(2019,3,1)</f>
        <v>43525</v>
      </c>
      <c r="C17" s="204">
        <v>11882780</v>
      </c>
      <c r="D17" s="204">
        <v>1899536.5</v>
      </c>
      <c r="E17" s="204">
        <v>2003810.5</v>
      </c>
      <c r="F17" s="132">
        <f t="shared" si="0"/>
        <v>-5.2037854876995603E-2</v>
      </c>
      <c r="G17" s="215">
        <f t="shared" si="1"/>
        <v>0.15985623734513305</v>
      </c>
      <c r="H17" s="123"/>
    </row>
    <row r="18" spans="1:8" ht="15.75" x14ac:dyDescent="0.25">
      <c r="A18" s="130"/>
      <c r="B18" s="131">
        <f>DATE(2019,4,1)</f>
        <v>43556</v>
      </c>
      <c r="C18" s="204">
        <v>10473169.5</v>
      </c>
      <c r="D18" s="204">
        <v>1787290.5</v>
      </c>
      <c r="E18" s="204">
        <v>1851064.5</v>
      </c>
      <c r="F18" s="132">
        <f t="shared" si="0"/>
        <v>-3.4452608215434957E-2</v>
      </c>
      <c r="G18" s="215">
        <f t="shared" si="1"/>
        <v>0.1706542131300367</v>
      </c>
      <c r="H18" s="123"/>
    </row>
    <row r="19" spans="1:8" ht="15.75" x14ac:dyDescent="0.25">
      <c r="A19" s="130"/>
      <c r="B19" s="131">
        <f>DATE(2019,5,1)</f>
        <v>43586</v>
      </c>
      <c r="C19" s="204">
        <v>9954750.5</v>
      </c>
      <c r="D19" s="204">
        <v>1875195.5</v>
      </c>
      <c r="E19" s="204">
        <v>1594398</v>
      </c>
      <c r="F19" s="132">
        <f t="shared" si="0"/>
        <v>0.17611506035506819</v>
      </c>
      <c r="G19" s="215">
        <f t="shared" si="1"/>
        <v>0.18837192353540153</v>
      </c>
      <c r="H19" s="123"/>
    </row>
    <row r="20" spans="1:8" ht="15.75" thickBot="1" x14ac:dyDescent="0.25">
      <c r="A20" s="133"/>
      <c r="B20" s="134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SUM(C9:C20)</f>
        <v>116348373.5</v>
      </c>
      <c r="D21" s="201">
        <f>SUM(D9:D20)</f>
        <v>22211804</v>
      </c>
      <c r="E21" s="201">
        <f>SUM(E9:E20)</f>
        <v>19993011.98</v>
      </c>
      <c r="F21" s="137">
        <f>(+D21-E21)/E21</f>
        <v>0.11097837695588673</v>
      </c>
      <c r="G21" s="212">
        <f>D21/C21</f>
        <v>0.19090773108229142</v>
      </c>
      <c r="H21" s="123"/>
    </row>
    <row r="22" spans="1:8" ht="15.75" customHeight="1" thickTop="1" x14ac:dyDescent="0.25">
      <c r="A22" s="138"/>
      <c r="B22" s="139"/>
      <c r="C22" s="205"/>
      <c r="D22" s="205"/>
      <c r="E22" s="205"/>
      <c r="F22" s="140"/>
      <c r="G22" s="216"/>
      <c r="H22" s="123"/>
    </row>
    <row r="23" spans="1:8" ht="15.75" x14ac:dyDescent="0.25">
      <c r="A23" s="19" t="s">
        <v>15</v>
      </c>
      <c r="B23" s="131">
        <f>DATE(2018,7,1)</f>
        <v>43282</v>
      </c>
      <c r="C23" s="204">
        <v>2618283</v>
      </c>
      <c r="D23" s="204">
        <v>544502.5</v>
      </c>
      <c r="E23" s="204">
        <v>642088</v>
      </c>
      <c r="F23" s="132">
        <f t="shared" ref="F23:F33" si="2">(+D23-E23)/E23</f>
        <v>-0.15198150409289693</v>
      </c>
      <c r="G23" s="215">
        <f t="shared" ref="G23:G33" si="3">D23/C23</f>
        <v>0.2079616680091495</v>
      </c>
      <c r="H23" s="123"/>
    </row>
    <row r="24" spans="1:8" ht="15.75" x14ac:dyDescent="0.25">
      <c r="A24" s="19"/>
      <c r="B24" s="131">
        <f>DATE(2018,8,1)</f>
        <v>43313</v>
      </c>
      <c r="C24" s="204">
        <v>2865412</v>
      </c>
      <c r="D24" s="204">
        <v>656165</v>
      </c>
      <c r="E24" s="204">
        <v>490413</v>
      </c>
      <c r="F24" s="132">
        <f t="shared" si="2"/>
        <v>0.33798451509238131</v>
      </c>
      <c r="G24" s="215">
        <f t="shared" si="3"/>
        <v>0.22899499269215037</v>
      </c>
      <c r="H24" s="123"/>
    </row>
    <row r="25" spans="1:8" ht="15.75" x14ac:dyDescent="0.25">
      <c r="A25" s="19"/>
      <c r="B25" s="131">
        <f>DATE(2018,9,1)</f>
        <v>43344</v>
      </c>
      <c r="C25" s="204">
        <v>2858660</v>
      </c>
      <c r="D25" s="204">
        <v>251895.5</v>
      </c>
      <c r="E25" s="204">
        <v>534707</v>
      </c>
      <c r="F25" s="132">
        <f t="shared" si="2"/>
        <v>-0.52890929050863367</v>
      </c>
      <c r="G25" s="215">
        <f t="shared" si="3"/>
        <v>8.8116635066779539E-2</v>
      </c>
      <c r="H25" s="123"/>
    </row>
    <row r="26" spans="1:8" ht="15.75" x14ac:dyDescent="0.25">
      <c r="A26" s="19"/>
      <c r="B26" s="131">
        <f>DATE(2018,10,1)</f>
        <v>43374</v>
      </c>
      <c r="C26" s="204">
        <v>2984353</v>
      </c>
      <c r="D26" s="204">
        <v>763257.5</v>
      </c>
      <c r="E26" s="204">
        <v>515461.5</v>
      </c>
      <c r="F26" s="132">
        <f t="shared" si="2"/>
        <v>0.48072649460725969</v>
      </c>
      <c r="G26" s="215">
        <f t="shared" si="3"/>
        <v>0.25575308953062859</v>
      </c>
      <c r="H26" s="123"/>
    </row>
    <row r="27" spans="1:8" ht="15.75" x14ac:dyDescent="0.25">
      <c r="A27" s="19"/>
      <c r="B27" s="131">
        <f>DATE(2018,11,1)</f>
        <v>43405</v>
      </c>
      <c r="C27" s="204">
        <v>2329326</v>
      </c>
      <c r="D27" s="204">
        <v>497141.5</v>
      </c>
      <c r="E27" s="204">
        <v>483129.5</v>
      </c>
      <c r="F27" s="132">
        <f t="shared" si="2"/>
        <v>2.9002575913911279E-2</v>
      </c>
      <c r="G27" s="215">
        <f t="shared" si="3"/>
        <v>0.21342718880912331</v>
      </c>
      <c r="H27" s="123"/>
    </row>
    <row r="28" spans="1:8" ht="15.75" x14ac:dyDescent="0.25">
      <c r="A28" s="19"/>
      <c r="B28" s="131">
        <f>DATE(2018,12,1)</f>
        <v>43435</v>
      </c>
      <c r="C28" s="204">
        <v>2494748</v>
      </c>
      <c r="D28" s="204">
        <v>725952.5</v>
      </c>
      <c r="E28" s="204">
        <v>648728</v>
      </c>
      <c r="F28" s="132">
        <f t="shared" si="2"/>
        <v>0.11903987495529714</v>
      </c>
      <c r="G28" s="215">
        <f t="shared" si="3"/>
        <v>0.2909923166588369</v>
      </c>
      <c r="H28" s="123"/>
    </row>
    <row r="29" spans="1:8" ht="15.75" x14ac:dyDescent="0.25">
      <c r="A29" s="19"/>
      <c r="B29" s="131">
        <f>DATE(2019,1,1)</f>
        <v>43466</v>
      </c>
      <c r="C29" s="204">
        <v>2141791</v>
      </c>
      <c r="D29" s="204">
        <v>538538</v>
      </c>
      <c r="E29" s="204">
        <v>641885</v>
      </c>
      <c r="F29" s="132">
        <f t="shared" si="2"/>
        <v>-0.16100547605879559</v>
      </c>
      <c r="G29" s="215">
        <f t="shared" si="3"/>
        <v>0.25144283452493732</v>
      </c>
      <c r="H29" s="123"/>
    </row>
    <row r="30" spans="1:8" ht="15.75" x14ac:dyDescent="0.25">
      <c r="A30" s="19"/>
      <c r="B30" s="131">
        <f>DATE(2019,2,1)</f>
        <v>43497</v>
      </c>
      <c r="C30" s="204">
        <v>2348089</v>
      </c>
      <c r="D30" s="204">
        <v>807451</v>
      </c>
      <c r="E30" s="204">
        <v>529004</v>
      </c>
      <c r="F30" s="132">
        <f t="shared" si="2"/>
        <v>0.52636085927516618</v>
      </c>
      <c r="G30" s="215">
        <f t="shared" si="3"/>
        <v>0.34387580709249094</v>
      </c>
      <c r="H30" s="123"/>
    </row>
    <row r="31" spans="1:8" ht="15.75" x14ac:dyDescent="0.25">
      <c r="A31" s="19"/>
      <c r="B31" s="131">
        <f>DATE(2019,3,1)</f>
        <v>43525</v>
      </c>
      <c r="C31" s="204">
        <v>2916612</v>
      </c>
      <c r="D31" s="204">
        <v>438422.5</v>
      </c>
      <c r="E31" s="204">
        <v>585525</v>
      </c>
      <c r="F31" s="132">
        <f t="shared" si="2"/>
        <v>-0.25123180052090005</v>
      </c>
      <c r="G31" s="215">
        <f t="shared" si="3"/>
        <v>0.1503191031237614</v>
      </c>
      <c r="H31" s="123"/>
    </row>
    <row r="32" spans="1:8" ht="15.75" x14ac:dyDescent="0.25">
      <c r="A32" s="19"/>
      <c r="B32" s="131">
        <f>DATE(2019,4,1)</f>
        <v>43556</v>
      </c>
      <c r="C32" s="204">
        <v>2419568</v>
      </c>
      <c r="D32" s="204">
        <v>467457.5</v>
      </c>
      <c r="E32" s="204">
        <v>580383.5</v>
      </c>
      <c r="F32" s="132">
        <f t="shared" si="2"/>
        <v>-0.19457134808277629</v>
      </c>
      <c r="G32" s="215">
        <f t="shared" si="3"/>
        <v>0.19319874456927849</v>
      </c>
      <c r="H32" s="123"/>
    </row>
    <row r="33" spans="1:8" ht="15.75" x14ac:dyDescent="0.25">
      <c r="A33" s="19"/>
      <c r="B33" s="131">
        <f>DATE(2019,5,1)</f>
        <v>43586</v>
      </c>
      <c r="C33" s="204">
        <v>2708160</v>
      </c>
      <c r="D33" s="204">
        <v>521858</v>
      </c>
      <c r="E33" s="204">
        <v>612241.5</v>
      </c>
      <c r="F33" s="132">
        <f t="shared" si="2"/>
        <v>-0.14762720266430812</v>
      </c>
      <c r="G33" s="215">
        <f t="shared" si="3"/>
        <v>0.19269836346449248</v>
      </c>
      <c r="H33" s="123"/>
    </row>
    <row r="34" spans="1:8" ht="15.75" thickBot="1" x14ac:dyDescent="0.25">
      <c r="A34" s="133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35" t="s">
        <v>14</v>
      </c>
      <c r="B35" s="136"/>
      <c r="C35" s="201">
        <f>SUM(C23:C34)</f>
        <v>28685002</v>
      </c>
      <c r="D35" s="201">
        <f>SUM(D23:D34)</f>
        <v>6212641.5</v>
      </c>
      <c r="E35" s="201">
        <f>SUM(E23:E34)</f>
        <v>6263566</v>
      </c>
      <c r="F35" s="137">
        <f>(+D35-E35)/E35</f>
        <v>-8.1302727551685414E-3</v>
      </c>
      <c r="G35" s="212">
        <f>D35/C35</f>
        <v>0.2165815257743402</v>
      </c>
      <c r="H35" s="123"/>
    </row>
    <row r="36" spans="1:8" ht="15.75" customHeight="1" thickTop="1" x14ac:dyDescent="0.25">
      <c r="A36" s="255"/>
      <c r="B36" s="139"/>
      <c r="C36" s="205"/>
      <c r="D36" s="205"/>
      <c r="E36" s="205"/>
      <c r="F36" s="140"/>
      <c r="G36" s="219"/>
      <c r="H36" s="123"/>
    </row>
    <row r="37" spans="1:8" ht="15.75" x14ac:dyDescent="0.25">
      <c r="A37" s="19" t="s">
        <v>56</v>
      </c>
      <c r="B37" s="131">
        <f>DATE(2018,7,1)</f>
        <v>43282</v>
      </c>
      <c r="C37" s="204">
        <v>1379575</v>
      </c>
      <c r="D37" s="204">
        <v>373264</v>
      </c>
      <c r="E37" s="204">
        <v>330815.5</v>
      </c>
      <c r="F37" s="132">
        <f t="shared" ref="F37:F47" si="4">(+D37-E37)/E37</f>
        <v>0.12831472527738272</v>
      </c>
      <c r="G37" s="215">
        <f t="shared" ref="G37:G47" si="5">D37/C37</f>
        <v>0.27056448543935635</v>
      </c>
      <c r="H37" s="123"/>
    </row>
    <row r="38" spans="1:8" ht="15.75" x14ac:dyDescent="0.25">
      <c r="A38" s="19"/>
      <c r="B38" s="131">
        <f>DATE(2018,8,1)</f>
        <v>43313</v>
      </c>
      <c r="C38" s="204">
        <v>1464999</v>
      </c>
      <c r="D38" s="204">
        <v>339140.5</v>
      </c>
      <c r="E38" s="204">
        <v>326287.5</v>
      </c>
      <c r="F38" s="132">
        <f t="shared" si="4"/>
        <v>3.9391640807570009E-2</v>
      </c>
      <c r="G38" s="215">
        <f t="shared" si="5"/>
        <v>0.23149537986032756</v>
      </c>
      <c r="H38" s="123"/>
    </row>
    <row r="39" spans="1:8" ht="15.75" x14ac:dyDescent="0.25">
      <c r="A39" s="19"/>
      <c r="B39" s="131">
        <f>DATE(2018,9,1)</f>
        <v>43344</v>
      </c>
      <c r="C39" s="204">
        <v>1388620</v>
      </c>
      <c r="D39" s="204">
        <v>349109</v>
      </c>
      <c r="E39" s="204">
        <v>453438</v>
      </c>
      <c r="F39" s="132">
        <f t="shared" si="4"/>
        <v>-0.23008437757752989</v>
      </c>
      <c r="G39" s="215">
        <f t="shared" si="5"/>
        <v>0.2514071524247094</v>
      </c>
      <c r="H39" s="123"/>
    </row>
    <row r="40" spans="1:8" ht="15.75" x14ac:dyDescent="0.25">
      <c r="A40" s="19"/>
      <c r="B40" s="131">
        <f>DATE(2018,10,1)</f>
        <v>43374</v>
      </c>
      <c r="C40" s="204">
        <v>1282080</v>
      </c>
      <c r="D40" s="204">
        <v>213321.5</v>
      </c>
      <c r="E40" s="204">
        <v>325504</v>
      </c>
      <c r="F40" s="132">
        <f t="shared" si="4"/>
        <v>-0.34464246215100275</v>
      </c>
      <c r="G40" s="215">
        <f t="shared" si="5"/>
        <v>0.16638704293023837</v>
      </c>
      <c r="H40" s="123"/>
    </row>
    <row r="41" spans="1:8" ht="15.75" x14ac:dyDescent="0.25">
      <c r="A41" s="19"/>
      <c r="B41" s="131">
        <f>DATE(2018,11,1)</f>
        <v>43405</v>
      </c>
      <c r="C41" s="204">
        <v>1337192</v>
      </c>
      <c r="D41" s="204">
        <v>301353.5</v>
      </c>
      <c r="E41" s="204">
        <v>300283</v>
      </c>
      <c r="F41" s="132">
        <f t="shared" si="4"/>
        <v>3.5649703779434732E-3</v>
      </c>
      <c r="G41" s="215">
        <f t="shared" si="5"/>
        <v>0.22536292469592997</v>
      </c>
      <c r="H41" s="123"/>
    </row>
    <row r="42" spans="1:8" ht="15.75" x14ac:dyDescent="0.25">
      <c r="A42" s="19"/>
      <c r="B42" s="131">
        <f>DATE(2018,12,1)</f>
        <v>43435</v>
      </c>
      <c r="C42" s="204">
        <v>1480704</v>
      </c>
      <c r="D42" s="204">
        <v>461887</v>
      </c>
      <c r="E42" s="204">
        <v>366330</v>
      </c>
      <c r="F42" s="132">
        <f t="shared" si="4"/>
        <v>0.26084950727486145</v>
      </c>
      <c r="G42" s="215">
        <f t="shared" si="5"/>
        <v>0.31193742976313971</v>
      </c>
      <c r="H42" s="123"/>
    </row>
    <row r="43" spans="1:8" ht="15.75" x14ac:dyDescent="0.25">
      <c r="A43" s="19"/>
      <c r="B43" s="131">
        <f>DATE(2019,1,1)</f>
        <v>43466</v>
      </c>
      <c r="C43" s="204">
        <v>1207249</v>
      </c>
      <c r="D43" s="204">
        <v>327327.5</v>
      </c>
      <c r="E43" s="204">
        <v>337127.5</v>
      </c>
      <c r="F43" s="132">
        <f t="shared" si="4"/>
        <v>-2.9069120733253739E-2</v>
      </c>
      <c r="G43" s="215">
        <f t="shared" si="5"/>
        <v>0.27113503510874726</v>
      </c>
      <c r="H43" s="123"/>
    </row>
    <row r="44" spans="1:8" ht="15.75" x14ac:dyDescent="0.25">
      <c r="A44" s="19"/>
      <c r="B44" s="131">
        <f>DATE(2019,2,1)</f>
        <v>43497</v>
      </c>
      <c r="C44" s="204">
        <v>1297488</v>
      </c>
      <c r="D44" s="204">
        <v>275261</v>
      </c>
      <c r="E44" s="204">
        <v>389142.5</v>
      </c>
      <c r="F44" s="132">
        <f t="shared" si="4"/>
        <v>-0.2926472950140373</v>
      </c>
      <c r="G44" s="215">
        <f t="shared" si="5"/>
        <v>0.21214916823893554</v>
      </c>
      <c r="H44" s="123"/>
    </row>
    <row r="45" spans="1:8" ht="15.75" x14ac:dyDescent="0.25">
      <c r="A45" s="19"/>
      <c r="B45" s="131">
        <f>DATE(2019,3,1)</f>
        <v>43525</v>
      </c>
      <c r="C45" s="204">
        <v>1659028</v>
      </c>
      <c r="D45" s="204">
        <v>433986.5</v>
      </c>
      <c r="E45" s="204">
        <v>428782</v>
      </c>
      <c r="F45" s="132">
        <f t="shared" si="4"/>
        <v>1.2137869593406439E-2</v>
      </c>
      <c r="G45" s="215">
        <f t="shared" si="5"/>
        <v>0.26159082306024972</v>
      </c>
      <c r="H45" s="123"/>
    </row>
    <row r="46" spans="1:8" ht="15.75" x14ac:dyDescent="0.25">
      <c r="A46" s="19"/>
      <c r="B46" s="131">
        <f>DATE(2019,4,1)</f>
        <v>43556</v>
      </c>
      <c r="C46" s="204">
        <v>1272718</v>
      </c>
      <c r="D46" s="204">
        <v>278270</v>
      </c>
      <c r="E46" s="204">
        <v>388710.5</v>
      </c>
      <c r="F46" s="132">
        <f t="shared" si="4"/>
        <v>-0.28412018713155418</v>
      </c>
      <c r="G46" s="215">
        <f t="shared" si="5"/>
        <v>0.21864230725109568</v>
      </c>
      <c r="H46" s="123"/>
    </row>
    <row r="47" spans="1:8" ht="15.75" x14ac:dyDescent="0.25">
      <c r="A47" s="19"/>
      <c r="B47" s="131">
        <f>DATE(2019,5,1)</f>
        <v>43586</v>
      </c>
      <c r="C47" s="204">
        <v>1388556</v>
      </c>
      <c r="D47" s="204">
        <v>332825.5</v>
      </c>
      <c r="E47" s="204">
        <v>417913</v>
      </c>
      <c r="F47" s="132">
        <f t="shared" si="4"/>
        <v>-0.20360098872253315</v>
      </c>
      <c r="G47" s="215">
        <f t="shared" si="5"/>
        <v>0.23969180933286091</v>
      </c>
      <c r="H47" s="123"/>
    </row>
    <row r="48" spans="1:8" ht="15.75" thickBot="1" x14ac:dyDescent="0.25">
      <c r="A48" s="133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6">
        <f>SUM(C37:C48)</f>
        <v>15158209</v>
      </c>
      <c r="D49" s="206">
        <f>SUM(D37:D48)</f>
        <v>3685746</v>
      </c>
      <c r="E49" s="206">
        <f>SUM(E37:E48)</f>
        <v>4064333.5</v>
      </c>
      <c r="F49" s="143">
        <f>(+D49-E49)/E49</f>
        <v>-9.3148729059758503E-2</v>
      </c>
      <c r="G49" s="217">
        <f>D49/C49</f>
        <v>0.24315181298793281</v>
      </c>
      <c r="H49" s="123"/>
    </row>
    <row r="50" spans="1:8" ht="15.75" thickTop="1" x14ac:dyDescent="0.2">
      <c r="A50" s="133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77" t="s">
        <v>65</v>
      </c>
      <c r="B51" s="131">
        <f>DATE(2018,7,1)</f>
        <v>43282</v>
      </c>
      <c r="C51" s="204">
        <v>14770922.01</v>
      </c>
      <c r="D51" s="204">
        <v>2640847.2400000002</v>
      </c>
      <c r="E51" s="204">
        <v>3444933.46</v>
      </c>
      <c r="F51" s="132">
        <f t="shared" ref="F51:F61" si="6">(+D51-E51)/E51</f>
        <v>-0.23341124852960143</v>
      </c>
      <c r="G51" s="215">
        <f t="shared" ref="G51:G61" si="7">D51/C51</f>
        <v>0.17878689212576787</v>
      </c>
      <c r="H51" s="123"/>
    </row>
    <row r="52" spans="1:8" ht="15.75" x14ac:dyDescent="0.25">
      <c r="A52" s="177"/>
      <c r="B52" s="131">
        <f>DATE(2018,8,1)</f>
        <v>43313</v>
      </c>
      <c r="C52" s="204">
        <v>14974767</v>
      </c>
      <c r="D52" s="204">
        <v>3019576.86</v>
      </c>
      <c r="E52" s="204">
        <v>2738890.99</v>
      </c>
      <c r="F52" s="132">
        <f t="shared" si="6"/>
        <v>0.10248157777173877</v>
      </c>
      <c r="G52" s="215">
        <f t="shared" si="7"/>
        <v>0.20164433009208088</v>
      </c>
      <c r="H52" s="123"/>
    </row>
    <row r="53" spans="1:8" ht="15.75" x14ac:dyDescent="0.25">
      <c r="A53" s="177"/>
      <c r="B53" s="131">
        <f>DATE(2018,9,1)</f>
        <v>43344</v>
      </c>
      <c r="C53" s="204">
        <v>13265110.25</v>
      </c>
      <c r="D53" s="204">
        <v>3074145.25</v>
      </c>
      <c r="E53" s="204">
        <v>3077099.69</v>
      </c>
      <c r="F53" s="132">
        <f t="shared" si="6"/>
        <v>-9.601378888052679E-4</v>
      </c>
      <c r="G53" s="215">
        <f t="shared" si="7"/>
        <v>0.23174667922567774</v>
      </c>
      <c r="H53" s="123"/>
    </row>
    <row r="54" spans="1:8" ht="15.75" x14ac:dyDescent="0.25">
      <c r="A54" s="177"/>
      <c r="B54" s="131">
        <f>DATE(2018,10,1)</f>
        <v>43374</v>
      </c>
      <c r="C54" s="204">
        <v>12792793</v>
      </c>
      <c r="D54" s="204">
        <v>2577292.69</v>
      </c>
      <c r="E54" s="204">
        <v>2596719.9300000002</v>
      </c>
      <c r="F54" s="132">
        <f t="shared" si="6"/>
        <v>-7.4814537276648935E-3</v>
      </c>
      <c r="G54" s="215">
        <f t="shared" si="7"/>
        <v>0.20146442532135087</v>
      </c>
      <c r="H54" s="123"/>
    </row>
    <row r="55" spans="1:8" ht="15.75" x14ac:dyDescent="0.25">
      <c r="A55" s="177"/>
      <c r="B55" s="131">
        <f>DATE(2018,11,1)</f>
        <v>43405</v>
      </c>
      <c r="C55" s="204">
        <v>12986186</v>
      </c>
      <c r="D55" s="204">
        <v>2885158.69</v>
      </c>
      <c r="E55" s="204">
        <v>2954256.04</v>
      </c>
      <c r="F55" s="132">
        <f t="shared" si="6"/>
        <v>-2.3389086478773888E-2</v>
      </c>
      <c r="G55" s="215">
        <f t="shared" si="7"/>
        <v>0.22217136655827968</v>
      </c>
      <c r="H55" s="123"/>
    </row>
    <row r="56" spans="1:8" ht="15.75" x14ac:dyDescent="0.25">
      <c r="A56" s="177"/>
      <c r="B56" s="131">
        <f>DATE(2018,12,1)</f>
        <v>43435</v>
      </c>
      <c r="C56" s="204">
        <v>14981777</v>
      </c>
      <c r="D56" s="204">
        <v>2894970.85</v>
      </c>
      <c r="E56" s="204">
        <v>3254600.78</v>
      </c>
      <c r="F56" s="132">
        <f t="shared" si="6"/>
        <v>-0.11049893806023108</v>
      </c>
      <c r="G56" s="215">
        <f t="shared" si="7"/>
        <v>0.19323280876494159</v>
      </c>
      <c r="H56" s="123"/>
    </row>
    <row r="57" spans="1:8" ht="15.75" x14ac:dyDescent="0.25">
      <c r="A57" s="177"/>
      <c r="B57" s="131">
        <f>DATE(2019,1,1)</f>
        <v>43466</v>
      </c>
      <c r="C57" s="204">
        <v>13538543</v>
      </c>
      <c r="D57" s="204">
        <v>2972641.43</v>
      </c>
      <c r="E57" s="204">
        <v>3015386.15</v>
      </c>
      <c r="F57" s="132">
        <f t="shared" si="6"/>
        <v>-1.4175537683622955E-2</v>
      </c>
      <c r="G57" s="215">
        <f t="shared" si="7"/>
        <v>0.21956878446964345</v>
      </c>
      <c r="H57" s="123"/>
    </row>
    <row r="58" spans="1:8" ht="15.75" x14ac:dyDescent="0.25">
      <c r="A58" s="177"/>
      <c r="B58" s="131">
        <f>DATE(2019,2,1)</f>
        <v>43497</v>
      </c>
      <c r="C58" s="204">
        <v>13878631.470000001</v>
      </c>
      <c r="D58" s="204">
        <v>3194583.97</v>
      </c>
      <c r="E58" s="204">
        <v>2470968.89</v>
      </c>
      <c r="F58" s="132">
        <f t="shared" si="6"/>
        <v>0.29284669787971312</v>
      </c>
      <c r="G58" s="215">
        <f t="shared" si="7"/>
        <v>0.23018004166371889</v>
      </c>
      <c r="H58" s="123"/>
    </row>
    <row r="59" spans="1:8" ht="15.75" x14ac:dyDescent="0.25">
      <c r="A59" s="177"/>
      <c r="B59" s="131">
        <f>DATE(2019,3,1)</f>
        <v>43525</v>
      </c>
      <c r="C59" s="204">
        <v>18602014</v>
      </c>
      <c r="D59" s="204">
        <v>4211392</v>
      </c>
      <c r="E59" s="204">
        <v>3071035.69</v>
      </c>
      <c r="F59" s="132">
        <f t="shared" si="6"/>
        <v>0.3713262967647244</v>
      </c>
      <c r="G59" s="215">
        <f t="shared" si="7"/>
        <v>0.2263944108417508</v>
      </c>
      <c r="H59" s="123"/>
    </row>
    <row r="60" spans="1:8" ht="15.75" x14ac:dyDescent="0.25">
      <c r="A60" s="177"/>
      <c r="B60" s="131">
        <f>DATE(2019,4,1)</f>
        <v>43556</v>
      </c>
      <c r="C60" s="204">
        <v>13612929</v>
      </c>
      <c r="D60" s="204">
        <v>2963987.59</v>
      </c>
      <c r="E60" s="204">
        <v>3305837.5</v>
      </c>
      <c r="F60" s="132">
        <f t="shared" si="6"/>
        <v>-0.10340795940514322</v>
      </c>
      <c r="G60" s="215">
        <f t="shared" si="7"/>
        <v>0.21773327327278352</v>
      </c>
      <c r="H60" s="123"/>
    </row>
    <row r="61" spans="1:8" ht="15.75" x14ac:dyDescent="0.25">
      <c r="A61" s="177"/>
      <c r="B61" s="131">
        <f>DATE(2019,5,1)</f>
        <v>43586</v>
      </c>
      <c r="C61" s="204">
        <v>15049065.01</v>
      </c>
      <c r="D61" s="204">
        <v>2612189.0699999998</v>
      </c>
      <c r="E61" s="204">
        <v>2696146.85</v>
      </c>
      <c r="F61" s="132">
        <f t="shared" si="6"/>
        <v>-3.1139913614126862E-2</v>
      </c>
      <c r="G61" s="215">
        <f t="shared" si="7"/>
        <v>0.17357816371078325</v>
      </c>
      <c r="H61" s="123"/>
    </row>
    <row r="62" spans="1:8" ht="15.75" customHeight="1" thickBot="1" x14ac:dyDescent="0.25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Top="1" thickBot="1" x14ac:dyDescent="0.3">
      <c r="A63" s="141" t="s">
        <v>14</v>
      </c>
      <c r="B63" s="142"/>
      <c r="C63" s="206">
        <f>SUM(C51:C62)</f>
        <v>158452737.73999998</v>
      </c>
      <c r="D63" s="206">
        <f>SUM(D51:D62)</f>
        <v>33046785.639999997</v>
      </c>
      <c r="E63" s="206">
        <f>SUM(E51:E62)</f>
        <v>32625875.970000003</v>
      </c>
      <c r="F63" s="143">
        <f>(+D63-E63)/E63</f>
        <v>1.2901099433683475E-2</v>
      </c>
      <c r="G63" s="217">
        <f>D63/C63</f>
        <v>0.20855925944444967</v>
      </c>
      <c r="H63" s="123"/>
    </row>
    <row r="64" spans="1:8" ht="15.75" customHeight="1" thickTop="1" x14ac:dyDescent="0.2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 x14ac:dyDescent="0.25">
      <c r="A65" s="130" t="s">
        <v>39</v>
      </c>
      <c r="B65" s="131">
        <f>DATE(2018,7,1)</f>
        <v>43282</v>
      </c>
      <c r="C65" s="204">
        <v>16232884.5</v>
      </c>
      <c r="D65" s="204">
        <v>3513953.5</v>
      </c>
      <c r="E65" s="204">
        <v>4591352</v>
      </c>
      <c r="F65" s="132">
        <f t="shared" ref="F65:F75" si="8">(+D65-E65)/E65</f>
        <v>-0.23465822267602224</v>
      </c>
      <c r="G65" s="215">
        <f t="shared" ref="G65:G75" si="9">D65/C65</f>
        <v>0.21647129319499564</v>
      </c>
      <c r="H65" s="123"/>
    </row>
    <row r="66" spans="1:8" ht="15" customHeight="1" x14ac:dyDescent="0.25">
      <c r="A66" s="130"/>
      <c r="B66" s="131">
        <f>DATE(2018,8,1)</f>
        <v>43313</v>
      </c>
      <c r="C66" s="204">
        <v>16145647</v>
      </c>
      <c r="D66" s="204">
        <v>3570821.5</v>
      </c>
      <c r="E66" s="204">
        <v>3842200.5</v>
      </c>
      <c r="F66" s="132">
        <f t="shared" si="8"/>
        <v>-7.0631139629490969E-2</v>
      </c>
      <c r="G66" s="215">
        <f t="shared" si="9"/>
        <v>0.22116310978432763</v>
      </c>
      <c r="H66" s="123"/>
    </row>
    <row r="67" spans="1:8" ht="15" customHeight="1" x14ac:dyDescent="0.25">
      <c r="A67" s="130"/>
      <c r="B67" s="131">
        <f>DATE(2018,9,1)</f>
        <v>43344</v>
      </c>
      <c r="C67" s="204">
        <v>16222388</v>
      </c>
      <c r="D67" s="204">
        <v>3367544</v>
      </c>
      <c r="E67" s="204">
        <v>3686124</v>
      </c>
      <c r="F67" s="132">
        <f t="shared" si="8"/>
        <v>-8.6426826661284317E-2</v>
      </c>
      <c r="G67" s="215">
        <f t="shared" si="9"/>
        <v>0.20758620740670239</v>
      </c>
      <c r="H67" s="123"/>
    </row>
    <row r="68" spans="1:8" ht="15" customHeight="1" x14ac:dyDescent="0.25">
      <c r="A68" s="130"/>
      <c r="B68" s="131">
        <f>DATE(2018,10,1)</f>
        <v>43374</v>
      </c>
      <c r="C68" s="204">
        <v>17396784</v>
      </c>
      <c r="D68" s="204">
        <v>3631888</v>
      </c>
      <c r="E68" s="204">
        <v>2992121.5</v>
      </c>
      <c r="F68" s="132">
        <f t="shared" si="8"/>
        <v>0.21381701912840104</v>
      </c>
      <c r="G68" s="215">
        <f t="shared" si="9"/>
        <v>0.20876778144742156</v>
      </c>
      <c r="H68" s="123"/>
    </row>
    <row r="69" spans="1:8" ht="15" customHeight="1" x14ac:dyDescent="0.25">
      <c r="A69" s="130"/>
      <c r="B69" s="131">
        <f>DATE(2018,11,1)</f>
        <v>43405</v>
      </c>
      <c r="C69" s="204">
        <v>15185055</v>
      </c>
      <c r="D69" s="204">
        <v>3478954.5</v>
      </c>
      <c r="E69" s="204">
        <v>3675952</v>
      </c>
      <c r="F69" s="132">
        <f t="shared" si="8"/>
        <v>-5.359087931507267E-2</v>
      </c>
      <c r="G69" s="215">
        <f t="shared" si="9"/>
        <v>0.22910384585370286</v>
      </c>
      <c r="H69" s="123"/>
    </row>
    <row r="70" spans="1:8" ht="15" customHeight="1" x14ac:dyDescent="0.25">
      <c r="A70" s="130"/>
      <c r="B70" s="131">
        <f>DATE(2018,12,1)</f>
        <v>43435</v>
      </c>
      <c r="C70" s="204">
        <v>16988835</v>
      </c>
      <c r="D70" s="204">
        <v>3863144</v>
      </c>
      <c r="E70" s="204">
        <v>3464937</v>
      </c>
      <c r="F70" s="132">
        <f t="shared" si="8"/>
        <v>0.11492474466346718</v>
      </c>
      <c r="G70" s="215">
        <f t="shared" si="9"/>
        <v>0.22739310847388888</v>
      </c>
      <c r="H70" s="123"/>
    </row>
    <row r="71" spans="1:8" ht="15" customHeight="1" x14ac:dyDescent="0.25">
      <c r="A71" s="130"/>
      <c r="B71" s="131">
        <f>DATE(2019,1,1)</f>
        <v>43466</v>
      </c>
      <c r="C71" s="204">
        <v>14501861</v>
      </c>
      <c r="D71" s="204">
        <v>2474875.5</v>
      </c>
      <c r="E71" s="204">
        <v>2863319</v>
      </c>
      <c r="F71" s="132">
        <f t="shared" si="8"/>
        <v>-0.13566197129973992</v>
      </c>
      <c r="G71" s="215">
        <f t="shared" si="9"/>
        <v>0.17065916574431378</v>
      </c>
      <c r="H71" s="123"/>
    </row>
    <row r="72" spans="1:8" ht="15" customHeight="1" x14ac:dyDescent="0.25">
      <c r="A72" s="130"/>
      <c r="B72" s="131">
        <f>DATE(2019,2,1)</f>
        <v>43497</v>
      </c>
      <c r="C72" s="204">
        <v>15264920</v>
      </c>
      <c r="D72" s="204">
        <v>2417434</v>
      </c>
      <c r="E72" s="204">
        <v>2919393.5</v>
      </c>
      <c r="F72" s="132">
        <f t="shared" si="8"/>
        <v>-0.17193965116384619</v>
      </c>
      <c r="G72" s="215">
        <f t="shared" si="9"/>
        <v>0.15836532389295194</v>
      </c>
      <c r="H72" s="123"/>
    </row>
    <row r="73" spans="1:8" ht="15" customHeight="1" x14ac:dyDescent="0.25">
      <c r="A73" s="130"/>
      <c r="B73" s="131">
        <f>DATE(2019,3,1)</f>
        <v>43525</v>
      </c>
      <c r="C73" s="204">
        <v>18316032.050000001</v>
      </c>
      <c r="D73" s="204">
        <v>5092130.55</v>
      </c>
      <c r="E73" s="204">
        <v>3678003</v>
      </c>
      <c r="F73" s="132">
        <f t="shared" si="8"/>
        <v>0.38448243516930242</v>
      </c>
      <c r="G73" s="215">
        <f t="shared" si="9"/>
        <v>0.27801493992253629</v>
      </c>
      <c r="H73" s="123"/>
    </row>
    <row r="74" spans="1:8" ht="15" customHeight="1" x14ac:dyDescent="0.25">
      <c r="A74" s="130"/>
      <c r="B74" s="131">
        <f>DATE(2019,4,1)</f>
        <v>43556</v>
      </c>
      <c r="C74" s="204">
        <v>16817452</v>
      </c>
      <c r="D74" s="204">
        <v>3208453</v>
      </c>
      <c r="E74" s="204">
        <v>2764338</v>
      </c>
      <c r="F74" s="132">
        <f t="shared" si="8"/>
        <v>0.16065871828987627</v>
      </c>
      <c r="G74" s="215">
        <f t="shared" si="9"/>
        <v>0.19078115995217348</v>
      </c>
      <c r="H74" s="123"/>
    </row>
    <row r="75" spans="1:8" ht="15" customHeight="1" x14ac:dyDescent="0.25">
      <c r="A75" s="130"/>
      <c r="B75" s="131">
        <f>DATE(2019,5,1)</f>
        <v>43586</v>
      </c>
      <c r="C75" s="204">
        <v>17070836</v>
      </c>
      <c r="D75" s="204">
        <v>4986800.5</v>
      </c>
      <c r="E75" s="204">
        <v>2888640</v>
      </c>
      <c r="F75" s="132">
        <f t="shared" si="8"/>
        <v>0.72634890467486435</v>
      </c>
      <c r="G75" s="215">
        <f t="shared" si="9"/>
        <v>0.29212397682222474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Top="1" thickBot="1" x14ac:dyDescent="0.3">
      <c r="A77" s="141" t="s">
        <v>14</v>
      </c>
      <c r="B77" s="142"/>
      <c r="C77" s="207">
        <f>SUM(C65:C76)</f>
        <v>180142694.55000001</v>
      </c>
      <c r="D77" s="261">
        <f>SUM(D65:D76)</f>
        <v>39605999.049999997</v>
      </c>
      <c r="E77" s="206">
        <f>SUM(E65:E76)</f>
        <v>37366380.5</v>
      </c>
      <c r="F77" s="268">
        <f>(+D77-E77)/E77</f>
        <v>5.9936727080108734E-2</v>
      </c>
      <c r="G77" s="267">
        <f>D77/C77</f>
        <v>0.21985903535492549</v>
      </c>
      <c r="H77" s="123"/>
    </row>
    <row r="78" spans="1:8" ht="15.75" customHeight="1" thickTop="1" x14ac:dyDescent="0.25">
      <c r="A78" s="130"/>
      <c r="B78" s="134"/>
      <c r="C78" s="204"/>
      <c r="D78" s="204"/>
      <c r="E78" s="204"/>
      <c r="F78" s="132"/>
      <c r="G78" s="218"/>
      <c r="H78" s="123"/>
    </row>
    <row r="79" spans="1:8" ht="15.75" x14ac:dyDescent="0.25">
      <c r="A79" s="130" t="s">
        <v>66</v>
      </c>
      <c r="B79" s="131">
        <f>DATE(2018,7,1)</f>
        <v>43282</v>
      </c>
      <c r="C79" s="204">
        <v>2606833</v>
      </c>
      <c r="D79" s="204">
        <v>682875.5</v>
      </c>
      <c r="E79" s="204">
        <v>703792.5</v>
      </c>
      <c r="F79" s="132">
        <f t="shared" ref="F79:F89" si="10">(+D79-E79)/E79</f>
        <v>-2.9720407648561188E-2</v>
      </c>
      <c r="G79" s="215">
        <f t="shared" ref="G79:G89" si="11">D79/C79</f>
        <v>0.26195598260417907</v>
      </c>
      <c r="H79" s="123"/>
    </row>
    <row r="80" spans="1:8" ht="15.75" x14ac:dyDescent="0.25">
      <c r="A80" s="130"/>
      <c r="B80" s="131">
        <f>DATE(2018,8,1)</f>
        <v>43313</v>
      </c>
      <c r="C80" s="204">
        <v>2586664</v>
      </c>
      <c r="D80" s="204">
        <v>651283.5</v>
      </c>
      <c r="E80" s="204">
        <v>551376.5</v>
      </c>
      <c r="F80" s="132">
        <f t="shared" si="10"/>
        <v>0.1811956077199518</v>
      </c>
      <c r="G80" s="215">
        <f t="shared" si="11"/>
        <v>0.25178511781970908</v>
      </c>
      <c r="H80" s="123"/>
    </row>
    <row r="81" spans="1:8" ht="15.75" x14ac:dyDescent="0.25">
      <c r="A81" s="130"/>
      <c r="B81" s="131">
        <f>DATE(2018,9,1)</f>
        <v>43344</v>
      </c>
      <c r="C81" s="204">
        <v>2355213</v>
      </c>
      <c r="D81" s="204">
        <v>584999.5</v>
      </c>
      <c r="E81" s="204">
        <v>737458.5</v>
      </c>
      <c r="F81" s="132">
        <f t="shared" si="10"/>
        <v>-0.20673570105978845</v>
      </c>
      <c r="G81" s="215">
        <f t="shared" si="11"/>
        <v>0.2483849656060832</v>
      </c>
      <c r="H81" s="123"/>
    </row>
    <row r="82" spans="1:8" ht="15.75" x14ac:dyDescent="0.25">
      <c r="A82" s="130"/>
      <c r="B82" s="131">
        <f>DATE(2018,10,1)</f>
        <v>43374</v>
      </c>
      <c r="C82" s="204">
        <v>2214253</v>
      </c>
      <c r="D82" s="204">
        <v>681963.5</v>
      </c>
      <c r="E82" s="204">
        <v>599085</v>
      </c>
      <c r="F82" s="132">
        <f t="shared" si="10"/>
        <v>0.13834180458532597</v>
      </c>
      <c r="G82" s="215">
        <f t="shared" si="11"/>
        <v>0.3079880664043359</v>
      </c>
      <c r="H82" s="123"/>
    </row>
    <row r="83" spans="1:8" ht="15.75" x14ac:dyDescent="0.25">
      <c r="A83" s="130"/>
      <c r="B83" s="131">
        <f>DATE(2018,11,1)</f>
        <v>43405</v>
      </c>
      <c r="C83" s="204">
        <v>2440196</v>
      </c>
      <c r="D83" s="204">
        <v>534840</v>
      </c>
      <c r="E83" s="204">
        <v>713063.5</v>
      </c>
      <c r="F83" s="132">
        <f t="shared" si="10"/>
        <v>-0.2499405733149993</v>
      </c>
      <c r="G83" s="215">
        <f t="shared" si="11"/>
        <v>0.21917911512026084</v>
      </c>
      <c r="H83" s="123"/>
    </row>
    <row r="84" spans="1:8" ht="15.75" x14ac:dyDescent="0.25">
      <c r="A84" s="130"/>
      <c r="B84" s="131">
        <f>DATE(2018,12,1)</f>
        <v>43435</v>
      </c>
      <c r="C84" s="204">
        <v>2873950</v>
      </c>
      <c r="D84" s="204">
        <v>680547.57</v>
      </c>
      <c r="E84" s="204">
        <v>726564.5</v>
      </c>
      <c r="F84" s="132">
        <f t="shared" si="10"/>
        <v>-6.3334955120983819E-2</v>
      </c>
      <c r="G84" s="215">
        <f t="shared" si="11"/>
        <v>0.23679868125750272</v>
      </c>
      <c r="H84" s="123"/>
    </row>
    <row r="85" spans="1:8" ht="15.75" x14ac:dyDescent="0.25">
      <c r="A85" s="130"/>
      <c r="B85" s="131">
        <f>DATE(2019,1,1)</f>
        <v>43466</v>
      </c>
      <c r="C85" s="204">
        <v>2395817</v>
      </c>
      <c r="D85" s="204">
        <v>696823.5</v>
      </c>
      <c r="E85" s="204">
        <v>498012.5</v>
      </c>
      <c r="F85" s="132">
        <f t="shared" si="10"/>
        <v>0.39920885519941768</v>
      </c>
      <c r="G85" s="215">
        <f t="shared" si="11"/>
        <v>0.29085005240383549</v>
      </c>
      <c r="H85" s="123"/>
    </row>
    <row r="86" spans="1:8" ht="15.75" x14ac:dyDescent="0.25">
      <c r="A86" s="130"/>
      <c r="B86" s="131">
        <f>DATE(2019,2,1)</f>
        <v>43497</v>
      </c>
      <c r="C86" s="204">
        <v>2579795</v>
      </c>
      <c r="D86" s="204">
        <v>505834.5</v>
      </c>
      <c r="E86" s="204">
        <v>615710.5</v>
      </c>
      <c r="F86" s="132">
        <f t="shared" si="10"/>
        <v>-0.17845399745497276</v>
      </c>
      <c r="G86" s="215">
        <f t="shared" si="11"/>
        <v>0.19607546336046081</v>
      </c>
      <c r="H86" s="123"/>
    </row>
    <row r="87" spans="1:8" ht="15.75" x14ac:dyDescent="0.25">
      <c r="A87" s="130"/>
      <c r="B87" s="131">
        <f>DATE(2019,3,1)</f>
        <v>43525</v>
      </c>
      <c r="C87" s="204">
        <v>2846844</v>
      </c>
      <c r="D87" s="204">
        <v>610444.5</v>
      </c>
      <c r="E87" s="204">
        <v>707304</v>
      </c>
      <c r="F87" s="132">
        <f t="shared" si="10"/>
        <v>-0.13694182416612941</v>
      </c>
      <c r="G87" s="215">
        <f t="shared" si="11"/>
        <v>0.21442850398546601</v>
      </c>
      <c r="H87" s="123"/>
    </row>
    <row r="88" spans="1:8" ht="15.75" x14ac:dyDescent="0.25">
      <c r="A88" s="130"/>
      <c r="B88" s="131">
        <f>DATE(2019,4,1)</f>
        <v>43556</v>
      </c>
      <c r="C88" s="204">
        <v>2622712</v>
      </c>
      <c r="D88" s="204">
        <v>593255</v>
      </c>
      <c r="E88" s="204">
        <v>580306.5</v>
      </c>
      <c r="F88" s="132">
        <f t="shared" si="10"/>
        <v>2.2313208623374027E-2</v>
      </c>
      <c r="G88" s="215">
        <f t="shared" si="11"/>
        <v>0.2261990641747931</v>
      </c>
      <c r="H88" s="123"/>
    </row>
    <row r="89" spans="1:8" ht="15.75" x14ac:dyDescent="0.25">
      <c r="A89" s="130"/>
      <c r="B89" s="131">
        <f>DATE(2019,5,1)</f>
        <v>43586</v>
      </c>
      <c r="C89" s="204">
        <v>2487249</v>
      </c>
      <c r="D89" s="204">
        <v>479927.5</v>
      </c>
      <c r="E89" s="204">
        <v>600638</v>
      </c>
      <c r="F89" s="132">
        <f t="shared" si="10"/>
        <v>-0.20097046806895336</v>
      </c>
      <c r="G89" s="215">
        <f t="shared" si="11"/>
        <v>0.19295514843909878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SUM(C79:C90)</f>
        <v>28009526</v>
      </c>
      <c r="D91" s="261">
        <f>SUM(D79:D90)</f>
        <v>6702794.5700000003</v>
      </c>
      <c r="E91" s="207">
        <f>SUM(E79:E90)</f>
        <v>7033312</v>
      </c>
      <c r="F91" s="268">
        <f>(+D91-E91)/E91</f>
        <v>-4.6993142064506693E-2</v>
      </c>
      <c r="G91" s="267">
        <f>D91/C91</f>
        <v>0.23930410568175986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17</v>
      </c>
      <c r="B93" s="131">
        <f>DATE(2018,7,1)</f>
        <v>43282</v>
      </c>
      <c r="C93" s="204">
        <v>1436883</v>
      </c>
      <c r="D93" s="204">
        <v>395162.5</v>
      </c>
      <c r="E93" s="204">
        <v>362602</v>
      </c>
      <c r="F93" s="132">
        <f t="shared" ref="F93:F103" si="12">(+D93-E93)/E93</f>
        <v>8.9796802003298384E-2</v>
      </c>
      <c r="G93" s="215">
        <f t="shared" ref="G93:G103" si="13">D93/C93</f>
        <v>0.27501369283372412</v>
      </c>
      <c r="H93" s="123"/>
    </row>
    <row r="94" spans="1:8" ht="15.75" x14ac:dyDescent="0.25">
      <c r="A94" s="130"/>
      <c r="B94" s="131">
        <f>DATE(2018,8,1)</f>
        <v>43313</v>
      </c>
      <c r="C94" s="204">
        <v>1346022</v>
      </c>
      <c r="D94" s="204">
        <v>271146</v>
      </c>
      <c r="E94" s="204">
        <v>327445</v>
      </c>
      <c r="F94" s="132">
        <f t="shared" si="12"/>
        <v>-0.17193421796026814</v>
      </c>
      <c r="G94" s="215">
        <f t="shared" si="13"/>
        <v>0.20144247270846985</v>
      </c>
      <c r="H94" s="123"/>
    </row>
    <row r="95" spans="1:8" ht="15.75" x14ac:dyDescent="0.25">
      <c r="A95" s="130"/>
      <c r="B95" s="131">
        <f>DATE(2018,9,1)</f>
        <v>43344</v>
      </c>
      <c r="C95" s="204">
        <v>1317459</v>
      </c>
      <c r="D95" s="204">
        <v>347747</v>
      </c>
      <c r="E95" s="204">
        <v>332251.5</v>
      </c>
      <c r="F95" s="132">
        <f t="shared" si="12"/>
        <v>4.6637863184966807E-2</v>
      </c>
      <c r="G95" s="215">
        <f t="shared" si="13"/>
        <v>0.26395280612148081</v>
      </c>
      <c r="H95" s="123"/>
    </row>
    <row r="96" spans="1:8" ht="15.75" x14ac:dyDescent="0.25">
      <c r="A96" s="130"/>
      <c r="B96" s="131">
        <f>DATE(2018,10,1)</f>
        <v>43374</v>
      </c>
      <c r="C96" s="204">
        <v>1265550</v>
      </c>
      <c r="D96" s="204">
        <v>240203.5</v>
      </c>
      <c r="E96" s="204">
        <v>339253.5</v>
      </c>
      <c r="F96" s="132">
        <f t="shared" si="12"/>
        <v>-0.29196456337222754</v>
      </c>
      <c r="G96" s="215">
        <f t="shared" si="13"/>
        <v>0.18980166725929437</v>
      </c>
      <c r="H96" s="123"/>
    </row>
    <row r="97" spans="1:8" ht="15.75" x14ac:dyDescent="0.25">
      <c r="A97" s="130"/>
      <c r="B97" s="131">
        <f>DATE(2018,11,1)</f>
        <v>43405</v>
      </c>
      <c r="C97" s="204">
        <v>1401653</v>
      </c>
      <c r="D97" s="204">
        <v>171704.5</v>
      </c>
      <c r="E97" s="204">
        <v>333725</v>
      </c>
      <c r="F97" s="132">
        <f t="shared" si="12"/>
        <v>-0.48549104801857818</v>
      </c>
      <c r="G97" s="215">
        <f t="shared" si="13"/>
        <v>0.12250143223750815</v>
      </c>
      <c r="H97" s="123"/>
    </row>
    <row r="98" spans="1:8" ht="15.75" x14ac:dyDescent="0.25">
      <c r="A98" s="130"/>
      <c r="B98" s="131">
        <f>DATE(2018,12,1)</f>
        <v>43435</v>
      </c>
      <c r="C98" s="204">
        <v>1462254</v>
      </c>
      <c r="D98" s="204">
        <v>334648.5</v>
      </c>
      <c r="E98" s="204">
        <v>307903.75</v>
      </c>
      <c r="F98" s="132">
        <f t="shared" si="12"/>
        <v>8.6860747879816333E-2</v>
      </c>
      <c r="G98" s="215">
        <f t="shared" si="13"/>
        <v>0.22885798226573495</v>
      </c>
      <c r="H98" s="123"/>
    </row>
    <row r="99" spans="1:8" ht="15.75" x14ac:dyDescent="0.25">
      <c r="A99" s="130"/>
      <c r="B99" s="131">
        <f>DATE(2019,1,1)</f>
        <v>43466</v>
      </c>
      <c r="C99" s="204">
        <v>1349219</v>
      </c>
      <c r="D99" s="204">
        <v>312324</v>
      </c>
      <c r="E99" s="204">
        <v>242105.5</v>
      </c>
      <c r="F99" s="132">
        <f t="shared" si="12"/>
        <v>0.29003265105501524</v>
      </c>
      <c r="G99" s="215">
        <f t="shared" si="13"/>
        <v>0.23148502948742938</v>
      </c>
      <c r="H99" s="123"/>
    </row>
    <row r="100" spans="1:8" ht="15.75" x14ac:dyDescent="0.25">
      <c r="A100" s="130"/>
      <c r="B100" s="131">
        <f>DATE(2019,2,1)</f>
        <v>43497</v>
      </c>
      <c r="C100" s="204">
        <v>1249766</v>
      </c>
      <c r="D100" s="204">
        <v>300723</v>
      </c>
      <c r="E100" s="204">
        <v>272009.5</v>
      </c>
      <c r="F100" s="132">
        <f t="shared" si="12"/>
        <v>0.10556065137430862</v>
      </c>
      <c r="G100" s="215">
        <f t="shared" si="13"/>
        <v>0.2406234447088495</v>
      </c>
      <c r="H100" s="123"/>
    </row>
    <row r="101" spans="1:8" ht="15.75" x14ac:dyDescent="0.25">
      <c r="A101" s="130"/>
      <c r="B101" s="131">
        <f>DATE(2019,3,1)</f>
        <v>43525</v>
      </c>
      <c r="C101" s="204">
        <v>1694818.26</v>
      </c>
      <c r="D101" s="204">
        <v>353110.26</v>
      </c>
      <c r="E101" s="204">
        <v>265483</v>
      </c>
      <c r="F101" s="132">
        <f t="shared" si="12"/>
        <v>0.33006731127793498</v>
      </c>
      <c r="G101" s="215">
        <f t="shared" si="13"/>
        <v>0.20834697638907904</v>
      </c>
      <c r="H101" s="123"/>
    </row>
    <row r="102" spans="1:8" ht="15.75" x14ac:dyDescent="0.25">
      <c r="A102" s="130"/>
      <c r="B102" s="131">
        <f>DATE(2019,4,1)</f>
        <v>43556</v>
      </c>
      <c r="C102" s="204">
        <v>1497478</v>
      </c>
      <c r="D102" s="204">
        <v>345746.5</v>
      </c>
      <c r="E102" s="204">
        <v>271676</v>
      </c>
      <c r="F102" s="132">
        <f t="shared" si="12"/>
        <v>0.27264278037073575</v>
      </c>
      <c r="G102" s="215">
        <f t="shared" si="13"/>
        <v>0.23088586276392709</v>
      </c>
      <c r="H102" s="123"/>
    </row>
    <row r="103" spans="1:8" ht="15.75" x14ac:dyDescent="0.25">
      <c r="A103" s="130"/>
      <c r="B103" s="131">
        <f>DATE(2019,5,1)</f>
        <v>43586</v>
      </c>
      <c r="C103" s="204">
        <v>1494348</v>
      </c>
      <c r="D103" s="204">
        <v>361616.5</v>
      </c>
      <c r="E103" s="204">
        <v>267747</v>
      </c>
      <c r="F103" s="132">
        <f t="shared" si="12"/>
        <v>0.35059029606307446</v>
      </c>
      <c r="G103" s="215">
        <f t="shared" si="13"/>
        <v>0.2419894830387567</v>
      </c>
      <c r="H103" s="123"/>
    </row>
    <row r="104" spans="1:8" ht="15.75" customHeight="1" thickBot="1" x14ac:dyDescent="0.3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Top="1" thickBot="1" x14ac:dyDescent="0.3">
      <c r="A105" s="141" t="s">
        <v>14</v>
      </c>
      <c r="B105" s="142"/>
      <c r="C105" s="207">
        <f>SUM(C93:C104)</f>
        <v>15515450.26</v>
      </c>
      <c r="D105" s="261">
        <f>SUM(D93:D104)</f>
        <v>3434132.26</v>
      </c>
      <c r="E105" s="207">
        <f>SUM(E93:E104)</f>
        <v>3322201.75</v>
      </c>
      <c r="F105" s="269">
        <f>(+D105-E105)/E105</f>
        <v>3.3691665474560588E-2</v>
      </c>
      <c r="G105" s="267">
        <f>D105/C105</f>
        <v>0.22133629398132593</v>
      </c>
      <c r="H105" s="123"/>
    </row>
    <row r="106" spans="1:8" ht="15.75" customHeight="1" thickTop="1" x14ac:dyDescent="0.25">
      <c r="A106" s="130"/>
      <c r="B106" s="139"/>
      <c r="C106" s="205"/>
      <c r="D106" s="205"/>
      <c r="E106" s="205"/>
      <c r="F106" s="140"/>
      <c r="G106" s="216"/>
      <c r="H106" s="123"/>
    </row>
    <row r="107" spans="1:8" ht="15.75" x14ac:dyDescent="0.25">
      <c r="A107" s="130" t="s">
        <v>55</v>
      </c>
      <c r="B107" s="131">
        <f>DATE(2018,7,1)</f>
        <v>43282</v>
      </c>
      <c r="C107" s="204">
        <v>13110915</v>
      </c>
      <c r="D107" s="204">
        <v>2057880.1</v>
      </c>
      <c r="E107" s="204">
        <v>2414267.38</v>
      </c>
      <c r="F107" s="132">
        <f t="shared" ref="F107:F117" si="14">(+D107-E107)/E107</f>
        <v>-0.14761715415299187</v>
      </c>
      <c r="G107" s="215">
        <f t="shared" ref="G107:G117" si="15">D107/C107</f>
        <v>0.15695930451841081</v>
      </c>
      <c r="H107" s="123"/>
    </row>
    <row r="108" spans="1:8" ht="15.75" x14ac:dyDescent="0.25">
      <c r="A108" s="130"/>
      <c r="B108" s="131">
        <f>DATE(2018,8,1)</f>
        <v>43313</v>
      </c>
      <c r="C108" s="204">
        <v>13239234</v>
      </c>
      <c r="D108" s="204">
        <v>2105874.34</v>
      </c>
      <c r="E108" s="204">
        <v>2346748.2999999998</v>
      </c>
      <c r="F108" s="132">
        <f t="shared" si="14"/>
        <v>-0.10264158282334751</v>
      </c>
      <c r="G108" s="215">
        <f t="shared" si="15"/>
        <v>0.15906315576867966</v>
      </c>
      <c r="H108" s="123"/>
    </row>
    <row r="109" spans="1:8" ht="15.75" x14ac:dyDescent="0.25">
      <c r="A109" s="130"/>
      <c r="B109" s="131">
        <f>DATE(2018,9,1)</f>
        <v>43344</v>
      </c>
      <c r="C109" s="204">
        <v>12390658</v>
      </c>
      <c r="D109" s="204">
        <v>2555133.64</v>
      </c>
      <c r="E109" s="204">
        <v>2183188.7200000002</v>
      </c>
      <c r="F109" s="132">
        <f t="shared" si="14"/>
        <v>0.17036773623491416</v>
      </c>
      <c r="G109" s="215">
        <f t="shared" si="15"/>
        <v>0.20621452387758585</v>
      </c>
      <c r="H109" s="123"/>
    </row>
    <row r="110" spans="1:8" ht="15.75" x14ac:dyDescent="0.25">
      <c r="A110" s="130"/>
      <c r="B110" s="131">
        <f>DATE(2018,10,1)</f>
        <v>43374</v>
      </c>
      <c r="C110" s="204">
        <v>12275724</v>
      </c>
      <c r="D110" s="204">
        <v>2662687.6</v>
      </c>
      <c r="E110" s="204">
        <v>1755251.41</v>
      </c>
      <c r="F110" s="132">
        <f t="shared" si="14"/>
        <v>0.51698359837808094</v>
      </c>
      <c r="G110" s="215">
        <f t="shared" si="15"/>
        <v>0.21690676655812724</v>
      </c>
      <c r="H110" s="123"/>
    </row>
    <row r="111" spans="1:8" ht="15.75" x14ac:dyDescent="0.25">
      <c r="A111" s="130"/>
      <c r="B111" s="131">
        <f>DATE(2018,11,1)</f>
        <v>43405</v>
      </c>
      <c r="C111" s="204">
        <v>12544158</v>
      </c>
      <c r="D111" s="204">
        <v>2453062.8199999998</v>
      </c>
      <c r="E111" s="204">
        <v>2283849</v>
      </c>
      <c r="F111" s="132">
        <f t="shared" si="14"/>
        <v>7.4091509552514132E-2</v>
      </c>
      <c r="G111" s="215">
        <f t="shared" si="15"/>
        <v>0.19555420300031295</v>
      </c>
      <c r="H111" s="123"/>
    </row>
    <row r="112" spans="1:8" ht="15.75" x14ac:dyDescent="0.25">
      <c r="A112" s="130"/>
      <c r="B112" s="131">
        <f>DATE(2018,12,1)</f>
        <v>43435</v>
      </c>
      <c r="C112" s="204">
        <v>13031097</v>
      </c>
      <c r="D112" s="204">
        <v>2360180.63</v>
      </c>
      <c r="E112" s="204">
        <v>2519457.5299999998</v>
      </c>
      <c r="F112" s="132">
        <f t="shared" si="14"/>
        <v>-6.3218727882267539E-2</v>
      </c>
      <c r="G112" s="215">
        <f t="shared" si="15"/>
        <v>0.18111910532167783</v>
      </c>
      <c r="H112" s="123"/>
    </row>
    <row r="113" spans="1:8" ht="15.75" x14ac:dyDescent="0.25">
      <c r="A113" s="130"/>
      <c r="B113" s="131">
        <f>DATE(2019,1,1)</f>
        <v>43466</v>
      </c>
      <c r="C113" s="204">
        <v>10882666</v>
      </c>
      <c r="D113" s="204">
        <v>2536749.79</v>
      </c>
      <c r="E113" s="204">
        <v>2138515.9900000002</v>
      </c>
      <c r="F113" s="132">
        <f t="shared" si="14"/>
        <v>0.1862196971461503</v>
      </c>
      <c r="G113" s="215">
        <f t="shared" si="15"/>
        <v>0.23310003173854643</v>
      </c>
      <c r="H113" s="123"/>
    </row>
    <row r="114" spans="1:8" ht="15.75" x14ac:dyDescent="0.25">
      <c r="A114" s="130"/>
      <c r="B114" s="131">
        <f>DATE(2019,2,1)</f>
        <v>43497</v>
      </c>
      <c r="C114" s="204">
        <v>10918433</v>
      </c>
      <c r="D114" s="204">
        <v>1828257.84</v>
      </c>
      <c r="E114" s="204">
        <v>2359809.15</v>
      </c>
      <c r="F114" s="132">
        <f t="shared" si="14"/>
        <v>-0.22525182174160135</v>
      </c>
      <c r="G114" s="215">
        <f t="shared" si="15"/>
        <v>0.16744690744541824</v>
      </c>
      <c r="H114" s="123"/>
    </row>
    <row r="115" spans="1:8" ht="15.75" x14ac:dyDescent="0.25">
      <c r="A115" s="130"/>
      <c r="B115" s="131">
        <f>DATE(2019,3,1)</f>
        <v>43525</v>
      </c>
      <c r="C115" s="204">
        <v>13341524</v>
      </c>
      <c r="D115" s="204">
        <v>2606523</v>
      </c>
      <c r="E115" s="204">
        <v>2616619.2000000002</v>
      </c>
      <c r="F115" s="132">
        <f t="shared" si="14"/>
        <v>-3.858490375672618E-3</v>
      </c>
      <c r="G115" s="215">
        <f t="shared" si="15"/>
        <v>0.19536920969448468</v>
      </c>
      <c r="H115" s="123"/>
    </row>
    <row r="116" spans="1:8" ht="15.75" x14ac:dyDescent="0.25">
      <c r="A116" s="130"/>
      <c r="B116" s="131">
        <f>DATE(2019,4,1)</f>
        <v>43556</v>
      </c>
      <c r="C116" s="204">
        <v>12294057</v>
      </c>
      <c r="D116" s="204">
        <v>2422019.13</v>
      </c>
      <c r="E116" s="204">
        <v>2580078.54</v>
      </c>
      <c r="F116" s="132">
        <f t="shared" si="14"/>
        <v>-6.1261472296110855E-2</v>
      </c>
      <c r="G116" s="215">
        <f t="shared" si="15"/>
        <v>0.19700731255760404</v>
      </c>
      <c r="H116" s="123"/>
    </row>
    <row r="117" spans="1:8" ht="15.75" x14ac:dyDescent="0.25">
      <c r="A117" s="130"/>
      <c r="B117" s="131">
        <f>DATE(2019,5,1)</f>
        <v>43586</v>
      </c>
      <c r="C117" s="204">
        <v>11914333</v>
      </c>
      <c r="D117" s="204">
        <v>2704441.56</v>
      </c>
      <c r="E117" s="204">
        <v>2779429.23</v>
      </c>
      <c r="F117" s="132">
        <f t="shared" si="14"/>
        <v>-2.6979521259478129E-2</v>
      </c>
      <c r="G117" s="215">
        <f t="shared" si="15"/>
        <v>0.22699059695578427</v>
      </c>
      <c r="H117" s="123"/>
    </row>
    <row r="118" spans="1:8" ht="15.75" customHeight="1" thickBot="1" x14ac:dyDescent="0.3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Top="1" thickBot="1" x14ac:dyDescent="0.3">
      <c r="A119" s="141" t="s">
        <v>14</v>
      </c>
      <c r="B119" s="142"/>
      <c r="C119" s="206">
        <f>SUM(C107:C118)</f>
        <v>135942799</v>
      </c>
      <c r="D119" s="206">
        <f>SUM(D107:D118)</f>
        <v>26292810.449999996</v>
      </c>
      <c r="E119" s="206">
        <f>SUM(E107:E118)</f>
        <v>25977214.449999999</v>
      </c>
      <c r="F119" s="143">
        <f>(+D119-E119)/E119</f>
        <v>1.2148954638975784E-2</v>
      </c>
      <c r="G119" s="217">
        <f>D119/C119</f>
        <v>0.19341083634742576</v>
      </c>
      <c r="H119" s="123"/>
    </row>
    <row r="120" spans="1:8" ht="15.75" customHeight="1" thickTop="1" x14ac:dyDescent="0.25">
      <c r="A120" s="138"/>
      <c r="B120" s="139"/>
      <c r="C120" s="205"/>
      <c r="D120" s="205"/>
      <c r="E120" s="205"/>
      <c r="F120" s="140"/>
      <c r="G120" s="216"/>
      <c r="H120" s="123"/>
    </row>
    <row r="121" spans="1:8" ht="15.75" x14ac:dyDescent="0.25">
      <c r="A121" s="130" t="s">
        <v>18</v>
      </c>
      <c r="B121" s="131">
        <f>DATE(2018,7,1)</f>
        <v>43282</v>
      </c>
      <c r="C121" s="204">
        <v>13620105.34</v>
      </c>
      <c r="D121" s="204">
        <v>2729067.84</v>
      </c>
      <c r="E121" s="204">
        <v>2350317.5</v>
      </c>
      <c r="F121" s="132">
        <f t="shared" ref="F121:F131" si="16">(+D121-E121)/E121</f>
        <v>0.16114858524433395</v>
      </c>
      <c r="G121" s="215">
        <f t="shared" ref="G121:G131" si="17">D121/C121</f>
        <v>0.20037053839702534</v>
      </c>
      <c r="H121" s="123"/>
    </row>
    <row r="122" spans="1:8" ht="15.75" x14ac:dyDescent="0.25">
      <c r="A122" s="130"/>
      <c r="B122" s="131">
        <f>DATE(2018,8,1)</f>
        <v>43313</v>
      </c>
      <c r="C122" s="204">
        <v>12049552</v>
      </c>
      <c r="D122" s="204">
        <v>2970026</v>
      </c>
      <c r="E122" s="204">
        <v>1942234.5</v>
      </c>
      <c r="F122" s="132">
        <f t="shared" si="16"/>
        <v>0.52917992137406678</v>
      </c>
      <c r="G122" s="215">
        <f t="shared" si="17"/>
        <v>0.24648435062150029</v>
      </c>
      <c r="H122" s="123"/>
    </row>
    <row r="123" spans="1:8" ht="15.75" x14ac:dyDescent="0.25">
      <c r="A123" s="130"/>
      <c r="B123" s="131">
        <f>DATE(2018,9,1)</f>
        <v>43344</v>
      </c>
      <c r="C123" s="204">
        <v>11797906</v>
      </c>
      <c r="D123" s="204">
        <v>2637413.5</v>
      </c>
      <c r="E123" s="204">
        <v>2639234.2599999998</v>
      </c>
      <c r="F123" s="132">
        <f t="shared" si="16"/>
        <v>-6.8988192052333263E-4</v>
      </c>
      <c r="G123" s="215">
        <f t="shared" si="17"/>
        <v>0.22354928917046804</v>
      </c>
      <c r="H123" s="123"/>
    </row>
    <row r="124" spans="1:8" ht="15.75" x14ac:dyDescent="0.25">
      <c r="A124" s="130"/>
      <c r="B124" s="131">
        <f>DATE(2018,10,1)</f>
        <v>43374</v>
      </c>
      <c r="C124" s="204">
        <v>11119336</v>
      </c>
      <c r="D124" s="204">
        <v>1894492</v>
      </c>
      <c r="E124" s="204">
        <v>2495709.5</v>
      </c>
      <c r="F124" s="132">
        <f t="shared" si="16"/>
        <v>-0.24090043332367009</v>
      </c>
      <c r="G124" s="215">
        <f t="shared" si="17"/>
        <v>0.17037815927138095</v>
      </c>
      <c r="H124" s="123"/>
    </row>
    <row r="125" spans="1:8" ht="15.75" x14ac:dyDescent="0.25">
      <c r="A125" s="130"/>
      <c r="B125" s="131">
        <f>DATE(2018,11,1)</f>
        <v>43405</v>
      </c>
      <c r="C125" s="204">
        <v>11602598.5</v>
      </c>
      <c r="D125" s="204">
        <v>2412367</v>
      </c>
      <c r="E125" s="204">
        <v>2041604</v>
      </c>
      <c r="F125" s="132">
        <f t="shared" si="16"/>
        <v>0.18160377820576371</v>
      </c>
      <c r="G125" s="215">
        <f t="shared" si="17"/>
        <v>0.20791609741559186</v>
      </c>
      <c r="H125" s="123"/>
    </row>
    <row r="126" spans="1:8" ht="15.75" x14ac:dyDescent="0.25">
      <c r="A126" s="130"/>
      <c r="B126" s="131">
        <f>DATE(2018,12,1)</f>
        <v>43435</v>
      </c>
      <c r="C126" s="204">
        <v>12657489</v>
      </c>
      <c r="D126" s="204">
        <v>2615452.5</v>
      </c>
      <c r="E126" s="204">
        <v>2741297</v>
      </c>
      <c r="F126" s="132">
        <f t="shared" si="16"/>
        <v>-4.5906919242971481E-2</v>
      </c>
      <c r="G126" s="215">
        <f t="shared" si="17"/>
        <v>0.20663280845039644</v>
      </c>
      <c r="H126" s="123"/>
    </row>
    <row r="127" spans="1:8" ht="15.75" x14ac:dyDescent="0.25">
      <c r="A127" s="130"/>
      <c r="B127" s="131">
        <f>DATE(2019,1,1)</f>
        <v>43466</v>
      </c>
      <c r="C127" s="204">
        <v>10915541</v>
      </c>
      <c r="D127" s="204">
        <v>2027761</v>
      </c>
      <c r="E127" s="204">
        <v>2741722.5</v>
      </c>
      <c r="F127" s="132">
        <f t="shared" si="16"/>
        <v>-0.26040618625699719</v>
      </c>
      <c r="G127" s="215">
        <f t="shared" si="17"/>
        <v>0.18576825463804314</v>
      </c>
      <c r="H127" s="123"/>
    </row>
    <row r="128" spans="1:8" ht="15.75" x14ac:dyDescent="0.25">
      <c r="A128" s="130"/>
      <c r="B128" s="131">
        <f>DATE(2019,2,1)</f>
        <v>43497</v>
      </c>
      <c r="C128" s="204">
        <v>10957943</v>
      </c>
      <c r="D128" s="204">
        <v>2349146</v>
      </c>
      <c r="E128" s="204">
        <v>2377846.5</v>
      </c>
      <c r="F128" s="132">
        <f t="shared" si="16"/>
        <v>-1.2069954894060656E-2</v>
      </c>
      <c r="G128" s="215">
        <f t="shared" si="17"/>
        <v>0.21437837375135096</v>
      </c>
      <c r="H128" s="123"/>
    </row>
    <row r="129" spans="1:8" ht="15.75" x14ac:dyDescent="0.25">
      <c r="A129" s="130"/>
      <c r="B129" s="131">
        <f>DATE(2019,3,1)</f>
        <v>43525</v>
      </c>
      <c r="C129" s="204">
        <v>14321433</v>
      </c>
      <c r="D129" s="204">
        <v>2873476</v>
      </c>
      <c r="E129" s="204">
        <v>2485041.2000000002</v>
      </c>
      <c r="F129" s="132">
        <f t="shared" si="16"/>
        <v>0.15630919921971506</v>
      </c>
      <c r="G129" s="215">
        <f t="shared" si="17"/>
        <v>0.20064165366692005</v>
      </c>
      <c r="H129" s="123"/>
    </row>
    <row r="130" spans="1:8" ht="15.75" x14ac:dyDescent="0.25">
      <c r="A130" s="130"/>
      <c r="B130" s="131">
        <f>DATE(2019,4,1)</f>
        <v>43556</v>
      </c>
      <c r="C130" s="204">
        <v>12171558</v>
      </c>
      <c r="D130" s="204">
        <v>2436226.5</v>
      </c>
      <c r="E130" s="204">
        <v>2474304</v>
      </c>
      <c r="F130" s="132">
        <f t="shared" si="16"/>
        <v>-1.5389176107705439E-2</v>
      </c>
      <c r="G130" s="215">
        <f t="shared" si="17"/>
        <v>0.20015732579181728</v>
      </c>
      <c r="H130" s="123"/>
    </row>
    <row r="131" spans="1:8" ht="15.75" x14ac:dyDescent="0.25">
      <c r="A131" s="130"/>
      <c r="B131" s="131">
        <f>DATE(2019,5,1)</f>
        <v>43586</v>
      </c>
      <c r="C131" s="204">
        <v>11888962</v>
      </c>
      <c r="D131" s="204">
        <v>2901413</v>
      </c>
      <c r="E131" s="204">
        <v>2335108.5</v>
      </c>
      <c r="F131" s="132">
        <f t="shared" si="16"/>
        <v>0.24251742477919119</v>
      </c>
      <c r="G131" s="215">
        <f t="shared" si="17"/>
        <v>0.24404258336430043</v>
      </c>
      <c r="H131" s="123"/>
    </row>
    <row r="132" spans="1:8" ht="15.75" customHeight="1" thickBot="1" x14ac:dyDescent="0.3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Top="1" thickBot="1" x14ac:dyDescent="0.3">
      <c r="A133" s="141" t="s">
        <v>14</v>
      </c>
      <c r="B133" s="142"/>
      <c r="C133" s="206">
        <f>SUM(C121:C132)</f>
        <v>133102423.84</v>
      </c>
      <c r="D133" s="206">
        <f>SUM(D121:D132)</f>
        <v>27846841.34</v>
      </c>
      <c r="E133" s="206">
        <f>SUM(E121:E132)</f>
        <v>26624419.459999997</v>
      </c>
      <c r="F133" s="143">
        <f>(+D133-E133)/E133</f>
        <v>4.5913559987159354E-2</v>
      </c>
      <c r="G133" s="217">
        <f>D133/C133</f>
        <v>0.20921363065089019</v>
      </c>
      <c r="H133" s="123"/>
    </row>
    <row r="134" spans="1:8" ht="15.75" customHeight="1" thickTop="1" x14ac:dyDescent="0.25">
      <c r="A134" s="138"/>
      <c r="B134" s="139"/>
      <c r="C134" s="205"/>
      <c r="D134" s="205"/>
      <c r="E134" s="205"/>
      <c r="F134" s="140"/>
      <c r="G134" s="216"/>
      <c r="H134" s="123"/>
    </row>
    <row r="135" spans="1:8" ht="15.75" x14ac:dyDescent="0.25">
      <c r="A135" s="130" t="s">
        <v>58</v>
      </c>
      <c r="B135" s="131">
        <f>DATE(2018,7,1)</f>
        <v>43282</v>
      </c>
      <c r="C135" s="204">
        <v>12908644</v>
      </c>
      <c r="D135" s="204">
        <v>2887936.73</v>
      </c>
      <c r="E135" s="204">
        <v>2354816.66</v>
      </c>
      <c r="F135" s="132">
        <f t="shared" ref="F135:F145" si="18">(+D135-E135)/E135</f>
        <v>0.22639557425247697</v>
      </c>
      <c r="G135" s="215">
        <f t="shared" ref="G135:G145" si="19">D135/C135</f>
        <v>0.22372115382529723</v>
      </c>
      <c r="H135" s="123"/>
    </row>
    <row r="136" spans="1:8" ht="15.75" x14ac:dyDescent="0.25">
      <c r="A136" s="130"/>
      <c r="B136" s="131">
        <f>DATE(2018,8,1)</f>
        <v>43313</v>
      </c>
      <c r="C136" s="204">
        <v>11947559</v>
      </c>
      <c r="D136" s="204">
        <v>2450226.84</v>
      </c>
      <c r="E136" s="204">
        <v>1981472</v>
      </c>
      <c r="F136" s="132">
        <f t="shared" si="18"/>
        <v>0.23656899517126653</v>
      </c>
      <c r="G136" s="215">
        <f t="shared" si="19"/>
        <v>0.2050817945322555</v>
      </c>
      <c r="H136" s="123"/>
    </row>
    <row r="137" spans="1:8" ht="15.75" x14ac:dyDescent="0.25">
      <c r="A137" s="130"/>
      <c r="B137" s="131">
        <f>DATE(2018,9,1)</f>
        <v>43344</v>
      </c>
      <c r="C137" s="204">
        <v>12029316</v>
      </c>
      <c r="D137" s="204">
        <v>1932757.4</v>
      </c>
      <c r="E137" s="204">
        <v>2416134</v>
      </c>
      <c r="F137" s="132">
        <f t="shared" si="18"/>
        <v>-0.20006199987252365</v>
      </c>
      <c r="G137" s="215">
        <f t="shared" si="19"/>
        <v>0.1606705983947882</v>
      </c>
      <c r="H137" s="123"/>
    </row>
    <row r="138" spans="1:8" ht="15.75" x14ac:dyDescent="0.25">
      <c r="A138" s="130"/>
      <c r="B138" s="131">
        <f>DATE(2018,10,1)</f>
        <v>43374</v>
      </c>
      <c r="C138" s="204">
        <v>13251865</v>
      </c>
      <c r="D138" s="204">
        <v>1108774.5</v>
      </c>
      <c r="E138" s="204">
        <v>2118997.3199999998</v>
      </c>
      <c r="F138" s="132">
        <f t="shared" si="18"/>
        <v>-0.47674568082983698</v>
      </c>
      <c r="G138" s="215">
        <f t="shared" si="19"/>
        <v>8.3669317488519537E-2</v>
      </c>
      <c r="H138" s="123"/>
    </row>
    <row r="139" spans="1:8" ht="15.75" x14ac:dyDescent="0.25">
      <c r="A139" s="130"/>
      <c r="B139" s="131">
        <f>DATE(2018,11,1)</f>
        <v>43405</v>
      </c>
      <c r="C139" s="204">
        <v>14843812</v>
      </c>
      <c r="D139" s="204">
        <v>4255264.95</v>
      </c>
      <c r="E139" s="204">
        <v>2312922.92</v>
      </c>
      <c r="F139" s="132">
        <f t="shared" si="18"/>
        <v>0.83977810639707795</v>
      </c>
      <c r="G139" s="215">
        <f t="shared" si="19"/>
        <v>0.28666928346977177</v>
      </c>
      <c r="H139" s="123"/>
    </row>
    <row r="140" spans="1:8" ht="15.75" x14ac:dyDescent="0.25">
      <c r="A140" s="130"/>
      <c r="B140" s="131">
        <f>DATE(2018,12,1)</f>
        <v>43435</v>
      </c>
      <c r="C140" s="204">
        <v>15844873</v>
      </c>
      <c r="D140" s="204">
        <v>3211966.31</v>
      </c>
      <c r="E140" s="204">
        <v>2152431.25</v>
      </c>
      <c r="F140" s="132">
        <f t="shared" si="18"/>
        <v>0.49225036107425035</v>
      </c>
      <c r="G140" s="215">
        <f t="shared" si="19"/>
        <v>0.20271328839303415</v>
      </c>
      <c r="H140" s="123"/>
    </row>
    <row r="141" spans="1:8" ht="15.75" x14ac:dyDescent="0.25">
      <c r="A141" s="130"/>
      <c r="B141" s="131">
        <f>DATE(2019,1,1)</f>
        <v>43466</v>
      </c>
      <c r="C141" s="204">
        <v>12543073</v>
      </c>
      <c r="D141" s="204">
        <v>2271310.91</v>
      </c>
      <c r="E141" s="204">
        <v>2163065</v>
      </c>
      <c r="F141" s="132">
        <f t="shared" si="18"/>
        <v>5.0042837362723795E-2</v>
      </c>
      <c r="G141" s="215">
        <f t="shared" si="19"/>
        <v>0.18108089700187507</v>
      </c>
      <c r="H141" s="123"/>
    </row>
    <row r="142" spans="1:8" ht="15.75" x14ac:dyDescent="0.25">
      <c r="A142" s="130"/>
      <c r="B142" s="131">
        <f>DATE(2019,2,1)</f>
        <v>43497</v>
      </c>
      <c r="C142" s="204">
        <v>12034314</v>
      </c>
      <c r="D142" s="204">
        <v>2581578.12</v>
      </c>
      <c r="E142" s="204">
        <v>2130295.34</v>
      </c>
      <c r="F142" s="132">
        <f t="shared" si="18"/>
        <v>0.21184047654162369</v>
      </c>
      <c r="G142" s="215">
        <f t="shared" si="19"/>
        <v>0.2145180955059009</v>
      </c>
      <c r="H142" s="123"/>
    </row>
    <row r="143" spans="1:8" ht="15.75" x14ac:dyDescent="0.25">
      <c r="A143" s="130"/>
      <c r="B143" s="131">
        <f>DATE(2019,3,1)</f>
        <v>43525</v>
      </c>
      <c r="C143" s="204">
        <v>14271837</v>
      </c>
      <c r="D143" s="204">
        <v>2833063.37</v>
      </c>
      <c r="E143" s="204">
        <v>2819224.65</v>
      </c>
      <c r="F143" s="132">
        <f t="shared" si="18"/>
        <v>4.9086971483454523E-3</v>
      </c>
      <c r="G143" s="215">
        <f t="shared" si="19"/>
        <v>0.19850726784505737</v>
      </c>
      <c r="H143" s="123"/>
    </row>
    <row r="144" spans="1:8" ht="15.75" x14ac:dyDescent="0.25">
      <c r="A144" s="130"/>
      <c r="B144" s="131">
        <f>DATE(2019,4,1)</f>
        <v>43556</v>
      </c>
      <c r="C144" s="204">
        <v>12499842</v>
      </c>
      <c r="D144" s="204">
        <v>2304119.92</v>
      </c>
      <c r="E144" s="204">
        <v>1984724.5</v>
      </c>
      <c r="F144" s="132">
        <f t="shared" si="18"/>
        <v>0.1609268288873342</v>
      </c>
      <c r="G144" s="215">
        <f t="shared" si="19"/>
        <v>0.18433192355551373</v>
      </c>
      <c r="H144" s="123"/>
    </row>
    <row r="145" spans="1:8" ht="15.75" x14ac:dyDescent="0.25">
      <c r="A145" s="130"/>
      <c r="B145" s="131">
        <f>DATE(2019,5,1)</f>
        <v>43586</v>
      </c>
      <c r="C145" s="204">
        <v>12791333</v>
      </c>
      <c r="D145" s="204">
        <v>2212314.4500000002</v>
      </c>
      <c r="E145" s="204">
        <v>2106755.14</v>
      </c>
      <c r="F145" s="132">
        <f t="shared" si="18"/>
        <v>5.010516314677179E-2</v>
      </c>
      <c r="G145" s="215">
        <f t="shared" si="19"/>
        <v>0.1729541752997909</v>
      </c>
      <c r="H145" s="123"/>
    </row>
    <row r="146" spans="1:8" ht="15.75" thickBot="1" x14ac:dyDescent="0.25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Top="1" thickBot="1" x14ac:dyDescent="0.3">
      <c r="A147" s="141" t="s">
        <v>14</v>
      </c>
      <c r="B147" s="142"/>
      <c r="C147" s="207">
        <f>SUM(C135:C146)</f>
        <v>144966468</v>
      </c>
      <c r="D147" s="207">
        <f>SUM(D135:D146)</f>
        <v>28049313.500000004</v>
      </c>
      <c r="E147" s="207">
        <f>SUM(E135:E146)</f>
        <v>24540838.780000001</v>
      </c>
      <c r="F147" s="143">
        <f>(+D147-E147)/E147</f>
        <v>0.14296474344060714</v>
      </c>
      <c r="G147" s="267">
        <f>D147/C147</f>
        <v>0.1934882865463757</v>
      </c>
      <c r="H147" s="123"/>
    </row>
    <row r="148" spans="1:8" ht="15.75" customHeight="1" thickTop="1" x14ac:dyDescent="0.25">
      <c r="A148" s="138"/>
      <c r="B148" s="139"/>
      <c r="C148" s="205"/>
      <c r="D148" s="205"/>
      <c r="E148" s="205"/>
      <c r="F148" s="140"/>
      <c r="G148" s="219"/>
      <c r="H148" s="123"/>
    </row>
    <row r="149" spans="1:8" ht="15.75" x14ac:dyDescent="0.25">
      <c r="A149" s="130" t="s">
        <v>59</v>
      </c>
      <c r="B149" s="131">
        <f>DATE(2018,7,1)</f>
        <v>43282</v>
      </c>
      <c r="C149" s="204">
        <v>623996.5</v>
      </c>
      <c r="D149" s="204">
        <v>154554.5</v>
      </c>
      <c r="E149" s="204">
        <v>185261.5</v>
      </c>
      <c r="F149" s="132">
        <f t="shared" ref="F149:F159" si="20">(+D149-E149)/E149</f>
        <v>-0.16574949463326163</v>
      </c>
      <c r="G149" s="215">
        <f t="shared" ref="G149:G159" si="21">D149/C149</f>
        <v>0.24768488284790058</v>
      </c>
      <c r="H149" s="123"/>
    </row>
    <row r="150" spans="1:8" ht="15.75" x14ac:dyDescent="0.25">
      <c r="A150" s="130"/>
      <c r="B150" s="131">
        <f>DATE(2018,8,1)</f>
        <v>43313</v>
      </c>
      <c r="C150" s="204">
        <v>653768</v>
      </c>
      <c r="D150" s="204">
        <v>228200</v>
      </c>
      <c r="E150" s="204">
        <v>131840.5</v>
      </c>
      <c r="F150" s="132">
        <f t="shared" si="20"/>
        <v>0.73087935801214343</v>
      </c>
      <c r="G150" s="215">
        <f t="shared" si="21"/>
        <v>0.34905348686384163</v>
      </c>
      <c r="H150" s="123"/>
    </row>
    <row r="151" spans="1:8" ht="15.75" x14ac:dyDescent="0.25">
      <c r="A151" s="130"/>
      <c r="B151" s="131">
        <f>DATE(2018,9,1)</f>
        <v>43344</v>
      </c>
      <c r="C151" s="204">
        <v>648238</v>
      </c>
      <c r="D151" s="204">
        <v>133253.5</v>
      </c>
      <c r="E151" s="204">
        <v>130165.5</v>
      </c>
      <c r="F151" s="132">
        <f t="shared" si="20"/>
        <v>2.3723644129972996E-2</v>
      </c>
      <c r="G151" s="215">
        <f t="shared" si="21"/>
        <v>0.20556261743372034</v>
      </c>
      <c r="H151" s="123"/>
    </row>
    <row r="152" spans="1:8" ht="15.75" x14ac:dyDescent="0.25">
      <c r="A152" s="130"/>
      <c r="B152" s="131">
        <f>DATE(2018,10,1)</f>
        <v>43374</v>
      </c>
      <c r="C152" s="204">
        <v>607581</v>
      </c>
      <c r="D152" s="204">
        <v>183569.5</v>
      </c>
      <c r="E152" s="204">
        <v>213032.5</v>
      </c>
      <c r="F152" s="132">
        <f t="shared" si="20"/>
        <v>-0.13830284111579219</v>
      </c>
      <c r="G152" s="215">
        <f t="shared" si="21"/>
        <v>0.30213173222994133</v>
      </c>
      <c r="H152" s="123"/>
    </row>
    <row r="153" spans="1:8" ht="15.75" x14ac:dyDescent="0.25">
      <c r="A153" s="130"/>
      <c r="B153" s="131">
        <f>DATE(2018,11,1)</f>
        <v>43405</v>
      </c>
      <c r="C153" s="204">
        <v>590853</v>
      </c>
      <c r="D153" s="204">
        <v>134566.5</v>
      </c>
      <c r="E153" s="204">
        <v>120661.5</v>
      </c>
      <c r="F153" s="132">
        <f t="shared" si="20"/>
        <v>0.11523974092813366</v>
      </c>
      <c r="G153" s="215">
        <f t="shared" si="21"/>
        <v>0.22774954176419515</v>
      </c>
      <c r="H153" s="123"/>
    </row>
    <row r="154" spans="1:8" ht="15.75" x14ac:dyDescent="0.25">
      <c r="A154" s="130"/>
      <c r="B154" s="131">
        <f>DATE(2018,12,1)</f>
        <v>43435</v>
      </c>
      <c r="C154" s="204">
        <v>630365</v>
      </c>
      <c r="D154" s="204">
        <v>155643.5</v>
      </c>
      <c r="E154" s="204">
        <v>179648.5</v>
      </c>
      <c r="F154" s="132">
        <f t="shared" si="20"/>
        <v>-0.13362204527173899</v>
      </c>
      <c r="G154" s="215">
        <f t="shared" si="21"/>
        <v>0.24691012349987707</v>
      </c>
      <c r="H154" s="123"/>
    </row>
    <row r="155" spans="1:8" ht="15.75" x14ac:dyDescent="0.25">
      <c r="A155" s="130"/>
      <c r="B155" s="131">
        <f>DATE(2019,1,1)</f>
        <v>43466</v>
      </c>
      <c r="C155" s="204">
        <v>555811</v>
      </c>
      <c r="D155" s="204">
        <v>147951.5</v>
      </c>
      <c r="E155" s="204">
        <v>161078</v>
      </c>
      <c r="F155" s="132">
        <f t="shared" si="20"/>
        <v>-8.1491575510001371E-2</v>
      </c>
      <c r="G155" s="215">
        <f t="shared" si="21"/>
        <v>0.26619030569744034</v>
      </c>
      <c r="H155" s="123"/>
    </row>
    <row r="156" spans="1:8" ht="15.75" x14ac:dyDescent="0.25">
      <c r="A156" s="130"/>
      <c r="B156" s="131">
        <f>DATE(2019,2,1)</f>
        <v>43497</v>
      </c>
      <c r="C156" s="204">
        <v>613996</v>
      </c>
      <c r="D156" s="204">
        <v>187673.5</v>
      </c>
      <c r="E156" s="204">
        <v>179952.5</v>
      </c>
      <c r="F156" s="132">
        <f t="shared" si="20"/>
        <v>4.2905766799572108E-2</v>
      </c>
      <c r="G156" s="215">
        <f t="shared" si="21"/>
        <v>0.30565915738864746</v>
      </c>
      <c r="H156" s="123"/>
    </row>
    <row r="157" spans="1:8" ht="15.75" x14ac:dyDescent="0.25">
      <c r="A157" s="130"/>
      <c r="B157" s="131">
        <f>DATE(2019,3,1)</f>
        <v>43525</v>
      </c>
      <c r="C157" s="204">
        <v>733394</v>
      </c>
      <c r="D157" s="204">
        <v>187433.5</v>
      </c>
      <c r="E157" s="204">
        <v>201152</v>
      </c>
      <c r="F157" s="132">
        <f t="shared" si="20"/>
        <v>-6.8199669901368123E-2</v>
      </c>
      <c r="G157" s="215">
        <f t="shared" si="21"/>
        <v>0.25556999375506206</v>
      </c>
      <c r="H157" s="123"/>
    </row>
    <row r="158" spans="1:8" ht="15.75" x14ac:dyDescent="0.25">
      <c r="A158" s="130"/>
      <c r="B158" s="131">
        <f>DATE(2019,4,1)</f>
        <v>43556</v>
      </c>
      <c r="C158" s="204">
        <v>656779</v>
      </c>
      <c r="D158" s="204">
        <v>118522.5</v>
      </c>
      <c r="E158" s="204">
        <v>173231</v>
      </c>
      <c r="F158" s="132">
        <f t="shared" si="20"/>
        <v>-0.31581241232804752</v>
      </c>
      <c r="G158" s="215">
        <f t="shared" si="21"/>
        <v>0.18046024614063483</v>
      </c>
      <c r="H158" s="123"/>
    </row>
    <row r="159" spans="1:8" ht="15.75" x14ac:dyDescent="0.25">
      <c r="A159" s="130"/>
      <c r="B159" s="131">
        <f>DATE(2019,5,1)</f>
        <v>43586</v>
      </c>
      <c r="C159" s="204">
        <v>548280</v>
      </c>
      <c r="D159" s="204">
        <v>159870.5</v>
      </c>
      <c r="E159" s="204">
        <v>155438.5</v>
      </c>
      <c r="F159" s="132">
        <f t="shared" si="20"/>
        <v>2.8512884517027635E-2</v>
      </c>
      <c r="G159" s="215">
        <f t="shared" si="21"/>
        <v>0.29158550375720432</v>
      </c>
      <c r="H159" s="123"/>
    </row>
    <row r="160" spans="1:8" ht="15.75" thickBot="1" x14ac:dyDescent="0.25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Top="1" thickBot="1" x14ac:dyDescent="0.3">
      <c r="A161" s="144" t="s">
        <v>14</v>
      </c>
      <c r="B161" s="145"/>
      <c r="C161" s="207">
        <f>SUM(C149:C160)</f>
        <v>6863061.5</v>
      </c>
      <c r="D161" s="207">
        <f>SUM(D149:D160)</f>
        <v>1791239</v>
      </c>
      <c r="E161" s="207">
        <f>SUM(E149:E160)</f>
        <v>1831462</v>
      </c>
      <c r="F161" s="143">
        <f>(+D161-E161)/E161</f>
        <v>-2.1962235634700584E-2</v>
      </c>
      <c r="G161" s="217">
        <f>D161/C161</f>
        <v>0.26099707834470082</v>
      </c>
      <c r="H161" s="123"/>
    </row>
    <row r="162" spans="1:8" ht="15.75" customHeight="1" thickTop="1" x14ac:dyDescent="0.25">
      <c r="A162" s="130"/>
      <c r="B162" s="134"/>
      <c r="C162" s="204"/>
      <c r="D162" s="204"/>
      <c r="E162" s="204"/>
      <c r="F162" s="132"/>
      <c r="G162" s="218"/>
      <c r="H162" s="123"/>
    </row>
    <row r="163" spans="1:8" ht="15.75" x14ac:dyDescent="0.25">
      <c r="A163" s="130" t="s">
        <v>40</v>
      </c>
      <c r="B163" s="131">
        <f>DATE(2018,7,1)</f>
        <v>43282</v>
      </c>
      <c r="C163" s="204">
        <v>18395528</v>
      </c>
      <c r="D163" s="204">
        <v>4013253.36</v>
      </c>
      <c r="E163" s="204">
        <v>3485005.33</v>
      </c>
      <c r="F163" s="132">
        <f t="shared" ref="F163:F173" si="22">(+D163-E163)/E163</f>
        <v>0.15157739514848886</v>
      </c>
      <c r="G163" s="215">
        <f t="shared" ref="G163:G173" si="23">D163/C163</f>
        <v>0.21816461914004315</v>
      </c>
      <c r="H163" s="123"/>
    </row>
    <row r="164" spans="1:8" ht="15.75" x14ac:dyDescent="0.25">
      <c r="A164" s="130"/>
      <c r="B164" s="131">
        <f>DATE(2018,8,1)</f>
        <v>43313</v>
      </c>
      <c r="C164" s="204">
        <v>18105989</v>
      </c>
      <c r="D164" s="204">
        <v>4154776.6</v>
      </c>
      <c r="E164" s="204">
        <v>2756152.9</v>
      </c>
      <c r="F164" s="132">
        <f t="shared" si="22"/>
        <v>0.50745504721454326</v>
      </c>
      <c r="G164" s="215">
        <f t="shared" si="23"/>
        <v>0.22946974064769399</v>
      </c>
      <c r="H164" s="123"/>
    </row>
    <row r="165" spans="1:8" ht="15.75" x14ac:dyDescent="0.25">
      <c r="A165" s="130"/>
      <c r="B165" s="131">
        <f>DATE(2018,9,1)</f>
        <v>43344</v>
      </c>
      <c r="C165" s="204">
        <v>15238679</v>
      </c>
      <c r="D165" s="204">
        <v>3317290.2</v>
      </c>
      <c r="E165" s="204">
        <v>3555670.84</v>
      </c>
      <c r="F165" s="132">
        <f t="shared" si="22"/>
        <v>-6.7042381234591358E-2</v>
      </c>
      <c r="G165" s="215">
        <f t="shared" si="23"/>
        <v>0.2176888298519839</v>
      </c>
      <c r="H165" s="123"/>
    </row>
    <row r="166" spans="1:8" ht="15.75" x14ac:dyDescent="0.25">
      <c r="A166" s="130"/>
      <c r="B166" s="131">
        <f>DATE(2018,10,1)</f>
        <v>43374</v>
      </c>
      <c r="C166" s="204">
        <v>14568891</v>
      </c>
      <c r="D166" s="204">
        <v>3010473</v>
      </c>
      <c r="E166" s="204">
        <v>3109647.95</v>
      </c>
      <c r="F166" s="132">
        <f t="shared" si="22"/>
        <v>-3.1892661675737337E-2</v>
      </c>
      <c r="G166" s="215">
        <f t="shared" si="23"/>
        <v>0.20663707347388349</v>
      </c>
      <c r="H166" s="123"/>
    </row>
    <row r="167" spans="1:8" ht="15.75" x14ac:dyDescent="0.25">
      <c r="A167" s="130"/>
      <c r="B167" s="131">
        <f>DATE(2018,11,1)</f>
        <v>43405</v>
      </c>
      <c r="C167" s="204">
        <v>15484724</v>
      </c>
      <c r="D167" s="204">
        <v>3636412.28</v>
      </c>
      <c r="E167" s="204">
        <v>3185542.02</v>
      </c>
      <c r="F167" s="132">
        <f t="shared" si="22"/>
        <v>0.14153643466928739</v>
      </c>
      <c r="G167" s="215">
        <f t="shared" si="23"/>
        <v>0.23483868876190495</v>
      </c>
      <c r="H167" s="123"/>
    </row>
    <row r="168" spans="1:8" ht="15.75" x14ac:dyDescent="0.25">
      <c r="A168" s="130"/>
      <c r="B168" s="131">
        <f>DATE(2018,12,1)</f>
        <v>43435</v>
      </c>
      <c r="C168" s="204">
        <v>17368026</v>
      </c>
      <c r="D168" s="204">
        <v>3158388.6</v>
      </c>
      <c r="E168" s="204">
        <v>3702278.99</v>
      </c>
      <c r="F168" s="132">
        <f t="shared" si="22"/>
        <v>-0.14690691638017267</v>
      </c>
      <c r="G168" s="215">
        <f t="shared" si="23"/>
        <v>0.18185075264166464</v>
      </c>
      <c r="H168" s="123"/>
    </row>
    <row r="169" spans="1:8" ht="15.75" x14ac:dyDescent="0.25">
      <c r="A169" s="130"/>
      <c r="B169" s="131">
        <f>DATE(2019,1,1)</f>
        <v>43466</v>
      </c>
      <c r="C169" s="204">
        <v>14705779</v>
      </c>
      <c r="D169" s="204">
        <v>3469211.92</v>
      </c>
      <c r="E169" s="204">
        <v>3099858.41</v>
      </c>
      <c r="F169" s="132">
        <f t="shared" si="22"/>
        <v>0.11915173570782536</v>
      </c>
      <c r="G169" s="215">
        <f t="shared" si="23"/>
        <v>0.23590806852190557</v>
      </c>
      <c r="H169" s="123"/>
    </row>
    <row r="170" spans="1:8" ht="15.75" x14ac:dyDescent="0.25">
      <c r="A170" s="130"/>
      <c r="B170" s="131">
        <f>DATE(2019,2,1)</f>
        <v>43497</v>
      </c>
      <c r="C170" s="204">
        <v>15048855</v>
      </c>
      <c r="D170" s="204">
        <v>3743256.73</v>
      </c>
      <c r="E170" s="204">
        <v>2392361.25</v>
      </c>
      <c r="F170" s="132">
        <f t="shared" si="22"/>
        <v>0.56467035653582831</v>
      </c>
      <c r="G170" s="215">
        <f t="shared" si="23"/>
        <v>0.24874030150466597</v>
      </c>
      <c r="H170" s="123"/>
    </row>
    <row r="171" spans="1:8" ht="15.75" x14ac:dyDescent="0.25">
      <c r="A171" s="130"/>
      <c r="B171" s="131">
        <f>DATE(2019,3,1)</f>
        <v>43525</v>
      </c>
      <c r="C171" s="204">
        <v>19114804</v>
      </c>
      <c r="D171" s="204">
        <v>3921104.66</v>
      </c>
      <c r="E171" s="204">
        <v>3826628.2</v>
      </c>
      <c r="F171" s="132">
        <f t="shared" si="22"/>
        <v>2.4689218565838184E-2</v>
      </c>
      <c r="G171" s="215">
        <f t="shared" si="23"/>
        <v>0.20513444239344542</v>
      </c>
      <c r="H171" s="123"/>
    </row>
    <row r="172" spans="1:8" ht="15.75" x14ac:dyDescent="0.25">
      <c r="A172" s="130"/>
      <c r="B172" s="131">
        <f>DATE(2019,4,1)</f>
        <v>43556</v>
      </c>
      <c r="C172" s="204">
        <v>17660834</v>
      </c>
      <c r="D172" s="204">
        <v>3566339.1</v>
      </c>
      <c r="E172" s="204">
        <v>3175407.88</v>
      </c>
      <c r="F172" s="132">
        <f t="shared" si="22"/>
        <v>0.12311212756705769</v>
      </c>
      <c r="G172" s="215">
        <f t="shared" si="23"/>
        <v>0.20193491994772161</v>
      </c>
      <c r="H172" s="123"/>
    </row>
    <row r="173" spans="1:8" ht="15.75" x14ac:dyDescent="0.25">
      <c r="A173" s="130"/>
      <c r="B173" s="131">
        <f>DATE(2019,5,1)</f>
        <v>43586</v>
      </c>
      <c r="C173" s="204">
        <v>19616523</v>
      </c>
      <c r="D173" s="204">
        <v>3761299.71</v>
      </c>
      <c r="E173" s="204">
        <v>2998661.17</v>
      </c>
      <c r="F173" s="132">
        <f t="shared" si="22"/>
        <v>0.25432634658086428</v>
      </c>
      <c r="G173" s="215">
        <f t="shared" si="23"/>
        <v>0.1917414064663753</v>
      </c>
      <c r="H173" s="123"/>
    </row>
    <row r="174" spans="1:8" ht="15.75" thickBot="1" x14ac:dyDescent="0.25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Top="1" thickBot="1" x14ac:dyDescent="0.3">
      <c r="A175" s="141" t="s">
        <v>14</v>
      </c>
      <c r="B175" s="142"/>
      <c r="C175" s="206">
        <f>SUM(C163:C174)</f>
        <v>185308632</v>
      </c>
      <c r="D175" s="207">
        <f>SUM(D163:D174)</f>
        <v>39751806.160000004</v>
      </c>
      <c r="E175" s="206">
        <f>SUM(E163:E174)</f>
        <v>35287214.939999998</v>
      </c>
      <c r="F175" s="143">
        <f>(+D175-E175)/E175</f>
        <v>0.12652149588997874</v>
      </c>
      <c r="G175" s="217">
        <f>D175/C175</f>
        <v>0.21451675365020234</v>
      </c>
      <c r="H175" s="123"/>
    </row>
    <row r="176" spans="1:8" ht="15.75" customHeight="1" thickTop="1" x14ac:dyDescent="0.25">
      <c r="A176" s="130"/>
      <c r="B176" s="134"/>
      <c r="C176" s="204"/>
      <c r="D176" s="204"/>
      <c r="E176" s="204"/>
      <c r="F176" s="132"/>
      <c r="G176" s="218"/>
      <c r="H176" s="123"/>
    </row>
    <row r="177" spans="1:8" ht="15.75" x14ac:dyDescent="0.25">
      <c r="A177" s="130" t="s">
        <v>64</v>
      </c>
      <c r="B177" s="131">
        <f>DATE(2018,7,1)</f>
        <v>43282</v>
      </c>
      <c r="C177" s="204">
        <v>835189</v>
      </c>
      <c r="D177" s="204">
        <v>171143.5</v>
      </c>
      <c r="E177" s="204">
        <v>283672</v>
      </c>
      <c r="F177" s="132">
        <f t="shared" ref="F177:F187" si="24">(+D177-E177)/E177</f>
        <v>-0.39668525621139911</v>
      </c>
      <c r="G177" s="215">
        <f t="shared" ref="G177:G187" si="25">D177/C177</f>
        <v>0.20491589328882445</v>
      </c>
      <c r="H177" s="123"/>
    </row>
    <row r="178" spans="1:8" ht="15.75" x14ac:dyDescent="0.25">
      <c r="A178" s="130"/>
      <c r="B178" s="131">
        <f>DATE(2018,8,1)</f>
        <v>43313</v>
      </c>
      <c r="C178" s="204">
        <v>795370</v>
      </c>
      <c r="D178" s="204">
        <v>217353.5</v>
      </c>
      <c r="E178" s="204">
        <v>213515</v>
      </c>
      <c r="F178" s="132">
        <f t="shared" si="24"/>
        <v>1.7977659649204975E-2</v>
      </c>
      <c r="G178" s="215">
        <f t="shared" si="25"/>
        <v>0.27327344506330387</v>
      </c>
      <c r="H178" s="123"/>
    </row>
    <row r="179" spans="1:8" ht="15.75" x14ac:dyDescent="0.25">
      <c r="A179" s="130"/>
      <c r="B179" s="131">
        <f>DATE(2018,9,1)</f>
        <v>43344</v>
      </c>
      <c r="C179" s="204">
        <v>769718</v>
      </c>
      <c r="D179" s="204">
        <v>169120</v>
      </c>
      <c r="E179" s="204">
        <v>213772.5</v>
      </c>
      <c r="F179" s="132">
        <f t="shared" si="24"/>
        <v>-0.20887859757452432</v>
      </c>
      <c r="G179" s="215">
        <f t="shared" si="25"/>
        <v>0.21971683135901721</v>
      </c>
      <c r="H179" s="123"/>
    </row>
    <row r="180" spans="1:8" ht="15.75" x14ac:dyDescent="0.25">
      <c r="A180" s="130"/>
      <c r="B180" s="131">
        <f>DATE(2018,10,1)</f>
        <v>43374</v>
      </c>
      <c r="C180" s="204">
        <v>707919</v>
      </c>
      <c r="D180" s="204">
        <v>142213.5</v>
      </c>
      <c r="E180" s="204">
        <v>244828.5</v>
      </c>
      <c r="F180" s="132">
        <f t="shared" si="24"/>
        <v>-0.41913012578192488</v>
      </c>
      <c r="G180" s="215">
        <f t="shared" si="25"/>
        <v>0.20088950854546919</v>
      </c>
      <c r="H180" s="123"/>
    </row>
    <row r="181" spans="1:8" ht="15.75" x14ac:dyDescent="0.25">
      <c r="A181" s="130"/>
      <c r="B181" s="131">
        <f>DATE(2018,11,1)</f>
        <v>43405</v>
      </c>
      <c r="C181" s="204">
        <v>684493</v>
      </c>
      <c r="D181" s="204">
        <v>170858.5</v>
      </c>
      <c r="E181" s="204">
        <v>214514.5</v>
      </c>
      <c r="F181" s="132">
        <f t="shared" si="24"/>
        <v>-0.20351071838966597</v>
      </c>
      <c r="G181" s="215">
        <f t="shared" si="25"/>
        <v>0.2496132173740272</v>
      </c>
      <c r="H181" s="123"/>
    </row>
    <row r="182" spans="1:8" ht="15.75" x14ac:dyDescent="0.25">
      <c r="A182" s="130"/>
      <c r="B182" s="131">
        <f>DATE(2018,12,1)</f>
        <v>43435</v>
      </c>
      <c r="C182" s="204">
        <v>823658</v>
      </c>
      <c r="D182" s="204">
        <v>191894</v>
      </c>
      <c r="E182" s="204">
        <v>251086</v>
      </c>
      <c r="F182" s="132">
        <f t="shared" si="24"/>
        <v>-0.23574392837513841</v>
      </c>
      <c r="G182" s="215">
        <f t="shared" si="25"/>
        <v>0.23297776504325823</v>
      </c>
      <c r="H182" s="123"/>
    </row>
    <row r="183" spans="1:8" ht="15.75" x14ac:dyDescent="0.25">
      <c r="A183" s="130"/>
      <c r="B183" s="131">
        <f>DATE(2019,1,1)</f>
        <v>43466</v>
      </c>
      <c r="C183" s="204">
        <v>677788</v>
      </c>
      <c r="D183" s="204">
        <v>225159.5</v>
      </c>
      <c r="E183" s="204">
        <v>161802.5</v>
      </c>
      <c r="F183" s="132">
        <f t="shared" si="24"/>
        <v>0.39156996956165696</v>
      </c>
      <c r="G183" s="215">
        <f t="shared" si="25"/>
        <v>0.3321975307913389</v>
      </c>
      <c r="H183" s="123"/>
    </row>
    <row r="184" spans="1:8" ht="15.75" x14ac:dyDescent="0.25">
      <c r="A184" s="130"/>
      <c r="B184" s="131">
        <f>DATE(2019,2,1)</f>
        <v>43497</v>
      </c>
      <c r="C184" s="204">
        <v>688470</v>
      </c>
      <c r="D184" s="204">
        <v>203977</v>
      </c>
      <c r="E184" s="204">
        <v>227252.5</v>
      </c>
      <c r="F184" s="132">
        <f t="shared" si="24"/>
        <v>-0.10242131549707924</v>
      </c>
      <c r="G184" s="215">
        <f t="shared" si="25"/>
        <v>0.29627579996223508</v>
      </c>
      <c r="H184" s="123"/>
    </row>
    <row r="185" spans="1:8" ht="15.75" x14ac:dyDescent="0.25">
      <c r="A185" s="130"/>
      <c r="B185" s="131">
        <f>DATE(2019,3,1)</f>
        <v>43525</v>
      </c>
      <c r="C185" s="204">
        <v>409378</v>
      </c>
      <c r="D185" s="204">
        <v>120427</v>
      </c>
      <c r="E185" s="204">
        <v>241108.5</v>
      </c>
      <c r="F185" s="132">
        <f t="shared" si="24"/>
        <v>-0.50052777069244758</v>
      </c>
      <c r="G185" s="215">
        <f t="shared" si="25"/>
        <v>0.29417066867296238</v>
      </c>
      <c r="H185" s="123"/>
    </row>
    <row r="186" spans="1:8" ht="15.75" x14ac:dyDescent="0.25">
      <c r="A186" s="130"/>
      <c r="B186" s="131">
        <f>DATE(2019,4,1)</f>
        <v>43556</v>
      </c>
      <c r="C186" s="204">
        <v>239443</v>
      </c>
      <c r="D186" s="204">
        <v>73859.5</v>
      </c>
      <c r="E186" s="204">
        <v>268633</v>
      </c>
      <c r="F186" s="132">
        <f t="shared" si="24"/>
        <v>-0.72505425617850372</v>
      </c>
      <c r="G186" s="215">
        <f t="shared" si="25"/>
        <v>0.30846380975848114</v>
      </c>
      <c r="H186" s="123"/>
    </row>
    <row r="187" spans="1:8" ht="15.75" x14ac:dyDescent="0.25">
      <c r="A187" s="130"/>
      <c r="B187" s="131">
        <f>DATE(2019,5,1)</f>
        <v>43586</v>
      </c>
      <c r="C187" s="204">
        <v>553478</v>
      </c>
      <c r="D187" s="204">
        <v>155292.5</v>
      </c>
      <c r="E187" s="204">
        <v>193846.5</v>
      </c>
      <c r="F187" s="132">
        <f t="shared" si="24"/>
        <v>-0.19888932738016937</v>
      </c>
      <c r="G187" s="215">
        <f t="shared" si="25"/>
        <v>0.28057574104119765</v>
      </c>
      <c r="H187" s="123"/>
    </row>
    <row r="188" spans="1:8" ht="15.75" thickBot="1" x14ac:dyDescent="0.25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Top="1" thickBot="1" x14ac:dyDescent="0.3">
      <c r="A189" s="135" t="s">
        <v>14</v>
      </c>
      <c r="B189" s="136"/>
      <c r="C189" s="201">
        <f>SUM(C177:C188)</f>
        <v>7184904</v>
      </c>
      <c r="D189" s="207">
        <f>SUM(D177:D188)</f>
        <v>1841298.5</v>
      </c>
      <c r="E189" s="207">
        <f>SUM(E177:E188)</f>
        <v>2514031.5</v>
      </c>
      <c r="F189" s="143">
        <f>(+D189-E189)/E189</f>
        <v>-0.26759131697434979</v>
      </c>
      <c r="G189" s="217">
        <f>D189/C189</f>
        <v>0.25627322230053456</v>
      </c>
      <c r="H189" s="123"/>
    </row>
    <row r="190" spans="1:8" ht="16.5" thickTop="1" thickBot="1" x14ac:dyDescent="0.25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Top="1" thickBot="1" x14ac:dyDescent="0.3">
      <c r="A191" s="147" t="s">
        <v>41</v>
      </c>
      <c r="B191" s="121"/>
      <c r="C191" s="201">
        <f>C189+C175+C133+C105+C77+C49+C21+C63+C161+C35+C119+C147+C91</f>
        <v>1155680281.3900001</v>
      </c>
      <c r="D191" s="201">
        <f>D189+D175+D133+D105+D77+D49+D21+D63+D161+D35+D119+D147+D91</f>
        <v>240473211.96999997</v>
      </c>
      <c r="E191" s="201">
        <f>E189+E175+E133+E105+E77+E49+E21+E63+E161+E35+E119+E147+E91</f>
        <v>227443862.82999998</v>
      </c>
      <c r="F191" s="137">
        <f>(+D191-E191)/E191</f>
        <v>5.728600006120458E-2</v>
      </c>
      <c r="G191" s="212">
        <f>D191/C191</f>
        <v>0.2080793588351007</v>
      </c>
      <c r="H191" s="123"/>
    </row>
    <row r="192" spans="1:8" ht="17.25" thickTop="1" thickBot="1" x14ac:dyDescent="0.3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Top="1" thickBot="1" x14ac:dyDescent="0.3">
      <c r="A193" s="265" t="s">
        <v>42</v>
      </c>
      <c r="B193" s="266"/>
      <c r="C193" s="206">
        <f>+C19+C33+C47+C61+C75+C89+C103+C117+C131+C145+C159+C173+C187</f>
        <v>107465873.50999999</v>
      </c>
      <c r="D193" s="206">
        <f>+D19+D33+D47+D61+D75+D89+D103+D117+D131+D145+D159+D173+D187</f>
        <v>23065044.290000003</v>
      </c>
      <c r="E193" s="206">
        <f>+E19+E33+E47+E61+E75+E89+E103+E117+E131+E145+E159+E173+E187</f>
        <v>19646963.390000001</v>
      </c>
      <c r="F193" s="143">
        <f>(+D193-E193)/E193</f>
        <v>0.17397502261035169</v>
      </c>
      <c r="G193" s="217">
        <f>D193/C193</f>
        <v>0.21462668600422011</v>
      </c>
      <c r="H193" s="123"/>
    </row>
    <row r="194" spans="1:8" ht="16.5" thickTop="1" x14ac:dyDescent="0.25">
      <c r="A194" s="256"/>
      <c r="B194" s="258"/>
      <c r="C194" s="259"/>
      <c r="D194" s="259"/>
      <c r="E194" s="259"/>
      <c r="F194" s="260"/>
      <c r="G194" s="257"/>
      <c r="H194" s="257"/>
    </row>
    <row r="195" spans="1:8" ht="18.75" x14ac:dyDescent="0.3">
      <c r="A195" s="263" t="s">
        <v>43</v>
      </c>
      <c r="B195" s="117"/>
      <c r="C195" s="208"/>
      <c r="D195" s="208"/>
      <c r="E195" s="208"/>
      <c r="F195" s="148"/>
      <c r="G195" s="220"/>
    </row>
    <row r="196" spans="1:8" ht="15.75" x14ac:dyDescent="0.25">
      <c r="A196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98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DATE(18,7,1)</f>
        <v>6757</v>
      </c>
      <c r="C10" s="226">
        <v>116623713.70999999</v>
      </c>
      <c r="D10" s="226">
        <v>11548721.09</v>
      </c>
      <c r="E10" s="226">
        <v>12399454.65</v>
      </c>
      <c r="F10" s="166">
        <f t="shared" ref="F10:F20" si="0">(+D10-E10)/E10</f>
        <v>-6.8610562642769171E-2</v>
      </c>
      <c r="G10" s="241">
        <f t="shared" ref="G10:G20" si="1">D10/C10</f>
        <v>9.9025495952884804E-2</v>
      </c>
      <c r="H10" s="242">
        <f t="shared" ref="H10:H20" si="2">1-G10</f>
        <v>0.90097450404711521</v>
      </c>
      <c r="I10" s="157"/>
    </row>
    <row r="11" spans="1:9" ht="15.75" x14ac:dyDescent="0.2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11441719.539999999</v>
      </c>
      <c r="F11" s="166">
        <f t="shared" si="0"/>
        <v>7.3148690375957323E-2</v>
      </c>
      <c r="G11" s="241">
        <f t="shared" si="1"/>
        <v>0.10426412288851994</v>
      </c>
      <c r="H11" s="242">
        <f t="shared" si="2"/>
        <v>0.89573587711148006</v>
      </c>
      <c r="I11" s="157"/>
    </row>
    <row r="12" spans="1:9" ht="15.75" x14ac:dyDescent="0.25">
      <c r="A12" s="164"/>
      <c r="B12" s="165">
        <f>DATE(18,9,1)</f>
        <v>6819</v>
      </c>
      <c r="C12" s="226">
        <v>114244738.3</v>
      </c>
      <c r="D12" s="226">
        <v>11479851.300000001</v>
      </c>
      <c r="E12" s="226">
        <v>11813160.59</v>
      </c>
      <c r="F12" s="166">
        <f t="shared" si="0"/>
        <v>-2.8215081599936086E-2</v>
      </c>
      <c r="G12" s="241">
        <f t="shared" si="1"/>
        <v>0.10048472665633477</v>
      </c>
      <c r="H12" s="242">
        <f t="shared" si="2"/>
        <v>0.89951527334366521</v>
      </c>
      <c r="I12" s="157"/>
    </row>
    <row r="13" spans="1:9" ht="15.75" x14ac:dyDescent="0.25">
      <c r="A13" s="164"/>
      <c r="B13" s="165">
        <f>DATE(18,10,1)</f>
        <v>6849</v>
      </c>
      <c r="C13" s="226">
        <v>118499471.81999999</v>
      </c>
      <c r="D13" s="226">
        <v>11766741.380000001</v>
      </c>
      <c r="E13" s="226">
        <v>11558139.689999999</v>
      </c>
      <c r="F13" s="166">
        <f t="shared" si="0"/>
        <v>1.8048033299033553E-2</v>
      </c>
      <c r="G13" s="241">
        <f t="shared" si="1"/>
        <v>9.9297838203647126E-2</v>
      </c>
      <c r="H13" s="242">
        <f t="shared" si="2"/>
        <v>0.90070216179635287</v>
      </c>
      <c r="I13" s="157"/>
    </row>
    <row r="14" spans="1:9" ht="15.75" x14ac:dyDescent="0.25">
      <c r="A14" s="164"/>
      <c r="B14" s="165">
        <f>DATE(18,11,1)</f>
        <v>6880</v>
      </c>
      <c r="C14" s="226">
        <v>109285129.77</v>
      </c>
      <c r="D14" s="226">
        <v>11316404.939999999</v>
      </c>
      <c r="E14" s="226">
        <v>11896579.67</v>
      </c>
      <c r="F14" s="166">
        <f t="shared" si="0"/>
        <v>-4.8768196077654681E-2</v>
      </c>
      <c r="G14" s="241">
        <f t="shared" si="1"/>
        <v>0.10354935720730123</v>
      </c>
      <c r="H14" s="242">
        <f t="shared" si="2"/>
        <v>0.89645064279269882</v>
      </c>
      <c r="I14" s="157"/>
    </row>
    <row r="15" spans="1:9" ht="15.75" x14ac:dyDescent="0.25">
      <c r="A15" s="164"/>
      <c r="B15" s="165">
        <f>DATE(18,12,1)</f>
        <v>6910</v>
      </c>
      <c r="C15" s="226">
        <v>125344851.37</v>
      </c>
      <c r="D15" s="226">
        <v>12753886.49</v>
      </c>
      <c r="E15" s="226">
        <v>12607302.66</v>
      </c>
      <c r="F15" s="166">
        <f t="shared" si="0"/>
        <v>1.1626898627973453E-2</v>
      </c>
      <c r="G15" s="241">
        <f t="shared" si="1"/>
        <v>0.10175038185136427</v>
      </c>
      <c r="H15" s="242">
        <f t="shared" si="2"/>
        <v>0.89824961814863569</v>
      </c>
      <c r="I15" s="157"/>
    </row>
    <row r="16" spans="1:9" ht="15.75" x14ac:dyDescent="0.25">
      <c r="A16" s="164"/>
      <c r="B16" s="165">
        <f>DATE(19,1,1)</f>
        <v>6941</v>
      </c>
      <c r="C16" s="226">
        <v>102861347.3</v>
      </c>
      <c r="D16" s="226">
        <v>10438169.560000001</v>
      </c>
      <c r="E16" s="226">
        <v>10938098.369999999</v>
      </c>
      <c r="F16" s="166">
        <f t="shared" si="0"/>
        <v>-4.5705276464797301E-2</v>
      </c>
      <c r="G16" s="241">
        <f t="shared" si="1"/>
        <v>0.10147805598498126</v>
      </c>
      <c r="H16" s="242">
        <f t="shared" si="2"/>
        <v>0.89852194401501873</v>
      </c>
      <c r="I16" s="157"/>
    </row>
    <row r="17" spans="1:9" ht="15.75" x14ac:dyDescent="0.25">
      <c r="A17" s="164"/>
      <c r="B17" s="165">
        <f>DATE(19,2,1)</f>
        <v>6972</v>
      </c>
      <c r="C17" s="226">
        <v>105294414.88</v>
      </c>
      <c r="D17" s="226">
        <v>10577892.76</v>
      </c>
      <c r="E17" s="226">
        <v>11694255.24</v>
      </c>
      <c r="F17" s="166">
        <f t="shared" si="0"/>
        <v>-9.5462469143097001E-2</v>
      </c>
      <c r="G17" s="241">
        <f t="shared" si="1"/>
        <v>0.10046015044630068</v>
      </c>
      <c r="H17" s="242">
        <f t="shared" si="2"/>
        <v>0.89953984955369937</v>
      </c>
      <c r="I17" s="157"/>
    </row>
    <row r="18" spans="1:9" ht="15.75" x14ac:dyDescent="0.25">
      <c r="A18" s="164"/>
      <c r="B18" s="165">
        <f>DATE(19,3,1)</f>
        <v>7000</v>
      </c>
      <c r="C18" s="226">
        <v>132040916.5</v>
      </c>
      <c r="D18" s="226">
        <v>13564921.23</v>
      </c>
      <c r="E18" s="226">
        <v>13457679.789999999</v>
      </c>
      <c r="F18" s="166">
        <f t="shared" si="0"/>
        <v>7.9687911789734552E-3</v>
      </c>
      <c r="G18" s="241">
        <f t="shared" si="1"/>
        <v>0.10273271035649015</v>
      </c>
      <c r="H18" s="242">
        <f t="shared" si="2"/>
        <v>0.89726728964350988</v>
      </c>
      <c r="I18" s="157"/>
    </row>
    <row r="19" spans="1:9" ht="15.75" x14ac:dyDescent="0.25">
      <c r="A19" s="164"/>
      <c r="B19" s="165">
        <f>DATE(19,4,1)</f>
        <v>7031</v>
      </c>
      <c r="C19" s="226">
        <v>116530720.89</v>
      </c>
      <c r="D19" s="226">
        <v>11449311.67</v>
      </c>
      <c r="E19" s="226">
        <v>11957394.029999999</v>
      </c>
      <c r="F19" s="166">
        <f t="shared" si="0"/>
        <v>-4.2491061072777864E-2</v>
      </c>
      <c r="G19" s="241">
        <f t="shared" si="1"/>
        <v>9.8251444619549363E-2</v>
      </c>
      <c r="H19" s="242">
        <f t="shared" si="2"/>
        <v>0.90174855538045062</v>
      </c>
      <c r="I19" s="157"/>
    </row>
    <row r="20" spans="1:9" ht="15.75" x14ac:dyDescent="0.25">
      <c r="A20" s="164"/>
      <c r="B20" s="165">
        <f>DATE(19,5,1)</f>
        <v>7061</v>
      </c>
      <c r="C20" s="226">
        <v>125236619.98999999</v>
      </c>
      <c r="D20" s="226">
        <v>12624622.52</v>
      </c>
      <c r="E20" s="226">
        <v>11993236.17</v>
      </c>
      <c r="F20" s="166">
        <f t="shared" si="0"/>
        <v>5.2645202766819159E-2</v>
      </c>
      <c r="G20" s="241">
        <f t="shared" si="1"/>
        <v>0.10080615814294622</v>
      </c>
      <c r="H20" s="242">
        <f t="shared" si="2"/>
        <v>0.89919384185705376</v>
      </c>
      <c r="I20" s="157"/>
    </row>
    <row r="21" spans="1:9" ht="15.75" thickBot="1" x14ac:dyDescent="0.25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SUM(C10:C21)</f>
        <v>1283726942.8299999</v>
      </c>
      <c r="D22" s="223">
        <f>SUM(D10:D21)</f>
        <v>129799189.28000002</v>
      </c>
      <c r="E22" s="223">
        <f>SUM(E10:E21)</f>
        <v>131757020.39999999</v>
      </c>
      <c r="F22" s="170">
        <f>(+D22-E22)/E22</f>
        <v>-1.4859406459376605E-2</v>
      </c>
      <c r="G22" s="236">
        <f>D22/C22</f>
        <v>0.10111121372420158</v>
      </c>
      <c r="H22" s="237">
        <f>1-G22</f>
        <v>0.89888878627579838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51</v>
      </c>
      <c r="B24" s="165">
        <f>DATE(18,7,1)</f>
        <v>6757</v>
      </c>
      <c r="C24" s="226">
        <v>65541726.200000003</v>
      </c>
      <c r="D24" s="226">
        <v>6830347.7599999998</v>
      </c>
      <c r="E24" s="226">
        <v>6811001.46</v>
      </c>
      <c r="F24" s="166">
        <f t="shared" ref="F24:F34" si="3">(+D24-E24)/E24</f>
        <v>2.8404486643583563E-3</v>
      </c>
      <c r="G24" s="241">
        <f t="shared" ref="G24:G34" si="4">D24/C24</f>
        <v>0.10421373003141927</v>
      </c>
      <c r="H24" s="242">
        <f t="shared" ref="H24:H34" si="5">1-G24</f>
        <v>0.89578626996858068</v>
      </c>
      <c r="I24" s="157"/>
    </row>
    <row r="25" spans="1:9" ht="15.75" x14ac:dyDescent="0.25">
      <c r="A25" s="19"/>
      <c r="B25" s="165">
        <f>DATE(18,8,1)</f>
        <v>6788</v>
      </c>
      <c r="C25" s="226">
        <v>63796111.600000001</v>
      </c>
      <c r="D25" s="226">
        <v>6442436.2599999998</v>
      </c>
      <c r="E25" s="226">
        <v>6396602.3099999996</v>
      </c>
      <c r="F25" s="166">
        <f t="shared" si="3"/>
        <v>7.1653586980617197E-3</v>
      </c>
      <c r="G25" s="241">
        <f t="shared" si="4"/>
        <v>0.100984779454803</v>
      </c>
      <c r="H25" s="242">
        <f t="shared" si="5"/>
        <v>0.899015220545197</v>
      </c>
      <c r="I25" s="157"/>
    </row>
    <row r="26" spans="1:9" ht="15.75" x14ac:dyDescent="0.25">
      <c r="A26" s="19"/>
      <c r="B26" s="165">
        <f>DATE(18,9,1)</f>
        <v>6819</v>
      </c>
      <c r="C26" s="226">
        <v>63301750.789999999</v>
      </c>
      <c r="D26" s="226">
        <v>6263081.7199999997</v>
      </c>
      <c r="E26" s="226">
        <v>6148408.0899999999</v>
      </c>
      <c r="F26" s="166">
        <f t="shared" si="3"/>
        <v>1.8650946443602101E-2</v>
      </c>
      <c r="G26" s="241">
        <f t="shared" si="4"/>
        <v>9.894010263282324E-2</v>
      </c>
      <c r="H26" s="242">
        <f t="shared" si="5"/>
        <v>0.90105989736717673</v>
      </c>
      <c r="I26" s="157"/>
    </row>
    <row r="27" spans="1:9" ht="15.75" x14ac:dyDescent="0.25">
      <c r="A27" s="19"/>
      <c r="B27" s="165">
        <f>DATE(18,10,1)</f>
        <v>6849</v>
      </c>
      <c r="C27" s="226">
        <v>57076488.57</v>
      </c>
      <c r="D27" s="226">
        <v>5583864.3700000001</v>
      </c>
      <c r="E27" s="226">
        <v>5734526.3600000003</v>
      </c>
      <c r="F27" s="166">
        <f t="shared" si="3"/>
        <v>-2.6272787069375372E-2</v>
      </c>
      <c r="G27" s="241">
        <f t="shared" si="4"/>
        <v>9.7831252585761516E-2</v>
      </c>
      <c r="H27" s="242">
        <f t="shared" si="5"/>
        <v>0.90216874741423847</v>
      </c>
      <c r="I27" s="157"/>
    </row>
    <row r="28" spans="1:9" ht="15.75" x14ac:dyDescent="0.25">
      <c r="A28" s="19"/>
      <c r="B28" s="165">
        <f>DATE(18,11,1)</f>
        <v>6880</v>
      </c>
      <c r="C28" s="226">
        <v>54722610.229999997</v>
      </c>
      <c r="D28" s="226">
        <v>5280741.6900000004</v>
      </c>
      <c r="E28" s="226">
        <v>5714351.8499999996</v>
      </c>
      <c r="F28" s="166">
        <f t="shared" si="3"/>
        <v>-7.5880899773436108E-2</v>
      </c>
      <c r="G28" s="241">
        <f t="shared" si="4"/>
        <v>9.6500179136283143E-2</v>
      </c>
      <c r="H28" s="242">
        <f t="shared" si="5"/>
        <v>0.90349982086371683</v>
      </c>
      <c r="I28" s="157"/>
    </row>
    <row r="29" spans="1:9" ht="15.75" x14ac:dyDescent="0.25">
      <c r="A29" s="19"/>
      <c r="B29" s="165">
        <f>DATE(18,12,1)</f>
        <v>6910</v>
      </c>
      <c r="C29" s="226">
        <v>63275121.399999999</v>
      </c>
      <c r="D29" s="226">
        <v>6010123.4199999999</v>
      </c>
      <c r="E29" s="226">
        <v>5911955.46</v>
      </c>
      <c r="F29" s="166">
        <f t="shared" si="3"/>
        <v>1.660498978116455E-2</v>
      </c>
      <c r="G29" s="241">
        <f t="shared" si="4"/>
        <v>9.4983988762445903E-2</v>
      </c>
      <c r="H29" s="242">
        <f t="shared" si="5"/>
        <v>0.90501601123755404</v>
      </c>
      <c r="I29" s="157"/>
    </row>
    <row r="30" spans="1:9" ht="15.75" x14ac:dyDescent="0.25">
      <c r="A30" s="19"/>
      <c r="B30" s="165">
        <f>DATE(19,1,1)</f>
        <v>6941</v>
      </c>
      <c r="C30" s="226">
        <v>50059923.170000002</v>
      </c>
      <c r="D30" s="226">
        <v>4663941.57</v>
      </c>
      <c r="E30" s="226">
        <v>5394556.3099999996</v>
      </c>
      <c r="F30" s="166">
        <f t="shared" si="3"/>
        <v>-0.1354355572571638</v>
      </c>
      <c r="G30" s="241">
        <f t="shared" si="4"/>
        <v>9.3167173951937174E-2</v>
      </c>
      <c r="H30" s="242">
        <f t="shared" si="5"/>
        <v>0.90683282604806281</v>
      </c>
      <c r="I30" s="157"/>
    </row>
    <row r="31" spans="1:9" ht="15.75" x14ac:dyDescent="0.25">
      <c r="A31" s="19"/>
      <c r="B31" s="165">
        <f>DATE(19,2,1)</f>
        <v>6972</v>
      </c>
      <c r="C31" s="226">
        <v>56015887.229999997</v>
      </c>
      <c r="D31" s="226">
        <v>5430626.4699999997</v>
      </c>
      <c r="E31" s="226">
        <v>5898754.5</v>
      </c>
      <c r="F31" s="166">
        <f t="shared" si="3"/>
        <v>-7.9360487031626806E-2</v>
      </c>
      <c r="G31" s="241">
        <f t="shared" si="4"/>
        <v>9.6947968487974975E-2</v>
      </c>
      <c r="H31" s="242">
        <f t="shared" si="5"/>
        <v>0.90305203151202507</v>
      </c>
      <c r="I31" s="157"/>
    </row>
    <row r="32" spans="1:9" ht="15.75" x14ac:dyDescent="0.25">
      <c r="A32" s="19"/>
      <c r="B32" s="165">
        <f>DATE(19,3,1)</f>
        <v>7000</v>
      </c>
      <c r="C32" s="226">
        <v>73025261.239999995</v>
      </c>
      <c r="D32" s="226">
        <v>7415577.3799999999</v>
      </c>
      <c r="E32" s="226">
        <v>7025004.2599999998</v>
      </c>
      <c r="F32" s="166">
        <f t="shared" si="3"/>
        <v>5.559756343834589E-2</v>
      </c>
      <c r="G32" s="241">
        <f t="shared" si="4"/>
        <v>0.10154811162713206</v>
      </c>
      <c r="H32" s="242">
        <f t="shared" si="5"/>
        <v>0.89845188837286794</v>
      </c>
      <c r="I32" s="157"/>
    </row>
    <row r="33" spans="1:9" ht="15.75" x14ac:dyDescent="0.25">
      <c r="A33" s="19"/>
      <c r="B33" s="165">
        <f>DATE(19,4,1)</f>
        <v>7031</v>
      </c>
      <c r="C33" s="226">
        <v>57994237.280000001</v>
      </c>
      <c r="D33" s="226">
        <v>5729556.8600000003</v>
      </c>
      <c r="E33" s="226">
        <v>6287577.5499999998</v>
      </c>
      <c r="F33" s="166">
        <f t="shared" si="3"/>
        <v>-8.8749710928018616E-2</v>
      </c>
      <c r="G33" s="241">
        <f t="shared" si="4"/>
        <v>9.8795279129843913E-2</v>
      </c>
      <c r="H33" s="242">
        <f t="shared" si="5"/>
        <v>0.90120472087015613</v>
      </c>
      <c r="I33" s="157"/>
    </row>
    <row r="34" spans="1:9" ht="15.75" x14ac:dyDescent="0.25">
      <c r="A34" s="19"/>
      <c r="B34" s="165">
        <f>DATE(19,5,1)</f>
        <v>7061</v>
      </c>
      <c r="C34" s="226">
        <v>63375421.289999999</v>
      </c>
      <c r="D34" s="226">
        <v>6346368.9500000002</v>
      </c>
      <c r="E34" s="226">
        <v>6041060.2400000002</v>
      </c>
      <c r="F34" s="166">
        <f t="shared" si="3"/>
        <v>5.0538928246145073E-2</v>
      </c>
      <c r="G34" s="241">
        <f t="shared" si="4"/>
        <v>0.10013927830096166</v>
      </c>
      <c r="H34" s="242">
        <f t="shared" si="5"/>
        <v>0.8998607216990383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69" t="s">
        <v>14</v>
      </c>
      <c r="B36" s="155"/>
      <c r="C36" s="223">
        <f>SUM(C24:C35)</f>
        <v>668184538.99999988</v>
      </c>
      <c r="D36" s="223">
        <f>SUM(D24:D35)</f>
        <v>65996666.450000003</v>
      </c>
      <c r="E36" s="223">
        <f>SUM(E24:E35)</f>
        <v>67363798.390000001</v>
      </c>
      <c r="F36" s="170">
        <f>(+D36-E36)/E36</f>
        <v>-2.0294757312897385E-2</v>
      </c>
      <c r="G36" s="236">
        <f>D36/C36</f>
        <v>9.8770119028450037E-2</v>
      </c>
      <c r="H36" s="237">
        <f>1-G36</f>
        <v>0.90122988097154999</v>
      </c>
      <c r="I36" s="157"/>
    </row>
    <row r="37" spans="1:9" ht="15.75" thickTop="1" x14ac:dyDescent="0.2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 x14ac:dyDescent="0.25">
      <c r="A38" s="19" t="s">
        <v>60</v>
      </c>
      <c r="B38" s="165">
        <f>DATE(18,7,1)</f>
        <v>6757</v>
      </c>
      <c r="C38" s="226">
        <v>27451989.68</v>
      </c>
      <c r="D38" s="226">
        <v>2891699.85</v>
      </c>
      <c r="E38" s="226">
        <v>2951015.74</v>
      </c>
      <c r="F38" s="166">
        <f t="shared" ref="F38:F48" si="6">(+D38-E38)/E38</f>
        <v>-2.0100160495924745E-2</v>
      </c>
      <c r="G38" s="241">
        <f t="shared" ref="G38:G48" si="7">D38/C38</f>
        <v>0.10533662163317556</v>
      </c>
      <c r="H38" s="242">
        <f t="shared" ref="H38:H48" si="8">1-G38</f>
        <v>0.89466337836682441</v>
      </c>
      <c r="I38" s="157"/>
    </row>
    <row r="39" spans="1:9" ht="15.75" x14ac:dyDescent="0.25">
      <c r="A39" s="19"/>
      <c r="B39" s="165">
        <f>DATE(18,8,1)</f>
        <v>6788</v>
      </c>
      <c r="C39" s="226">
        <v>25957318.239999998</v>
      </c>
      <c r="D39" s="226">
        <v>2785511.76</v>
      </c>
      <c r="E39" s="226">
        <v>2587760.59</v>
      </c>
      <c r="F39" s="166">
        <f t="shared" si="6"/>
        <v>7.6417876817576835E-2</v>
      </c>
      <c r="G39" s="241">
        <f t="shared" si="7"/>
        <v>0.10731123046862179</v>
      </c>
      <c r="H39" s="242">
        <f t="shared" si="8"/>
        <v>0.89268876953137821</v>
      </c>
      <c r="I39" s="157"/>
    </row>
    <row r="40" spans="1:9" ht="15.75" x14ac:dyDescent="0.25">
      <c r="A40" s="19"/>
      <c r="B40" s="165">
        <f>DATE(18,9,1)</f>
        <v>6819</v>
      </c>
      <c r="C40" s="226">
        <v>26244468.760000002</v>
      </c>
      <c r="D40" s="226">
        <v>2777720.64</v>
      </c>
      <c r="E40" s="226">
        <v>2789987.56</v>
      </c>
      <c r="F40" s="166">
        <f t="shared" si="6"/>
        <v>-4.3967651239276229E-3</v>
      </c>
      <c r="G40" s="241">
        <f t="shared" si="7"/>
        <v>0.10584023115124393</v>
      </c>
      <c r="H40" s="242">
        <f t="shared" si="8"/>
        <v>0.89415976884875603</v>
      </c>
      <c r="I40" s="157"/>
    </row>
    <row r="41" spans="1:9" ht="15.75" x14ac:dyDescent="0.25">
      <c r="A41" s="19"/>
      <c r="B41" s="165">
        <f>DATE(18,10,1)</f>
        <v>6849</v>
      </c>
      <c r="C41" s="226">
        <v>24694763.75</v>
      </c>
      <c r="D41" s="226">
        <v>2633608.2799999998</v>
      </c>
      <c r="E41" s="226">
        <v>2567921.2599999998</v>
      </c>
      <c r="F41" s="166">
        <f t="shared" si="6"/>
        <v>2.5579841961353607E-2</v>
      </c>
      <c r="G41" s="241">
        <f t="shared" si="7"/>
        <v>0.10664642539858271</v>
      </c>
      <c r="H41" s="242">
        <f t="shared" si="8"/>
        <v>0.89335357460141729</v>
      </c>
      <c r="I41" s="157"/>
    </row>
    <row r="42" spans="1:9" ht="15.75" x14ac:dyDescent="0.25">
      <c r="A42" s="19"/>
      <c r="B42" s="165">
        <f>DATE(18,11,1)</f>
        <v>6880</v>
      </c>
      <c r="C42" s="226">
        <v>23994134.84</v>
      </c>
      <c r="D42" s="226">
        <v>2551021.5099999998</v>
      </c>
      <c r="E42" s="226">
        <v>2542392.6800000002</v>
      </c>
      <c r="F42" s="166">
        <f t="shared" si="6"/>
        <v>3.3939800361601135E-3</v>
      </c>
      <c r="G42" s="241">
        <f t="shared" si="7"/>
        <v>0.10631854521994509</v>
      </c>
      <c r="H42" s="242">
        <f t="shared" si="8"/>
        <v>0.8936814547800549</v>
      </c>
      <c r="I42" s="157"/>
    </row>
    <row r="43" spans="1:9" ht="15.75" x14ac:dyDescent="0.25">
      <c r="A43" s="19"/>
      <c r="B43" s="165">
        <f>DATE(18,12,1)</f>
        <v>6910</v>
      </c>
      <c r="C43" s="226">
        <v>26510723.73</v>
      </c>
      <c r="D43" s="226">
        <v>2786245.45</v>
      </c>
      <c r="E43" s="226">
        <v>2721371.75</v>
      </c>
      <c r="F43" s="166">
        <f t="shared" si="6"/>
        <v>2.3838602719382308E-2</v>
      </c>
      <c r="G43" s="241">
        <f t="shared" si="7"/>
        <v>0.10509880750056763</v>
      </c>
      <c r="H43" s="242">
        <f t="shared" si="8"/>
        <v>0.89490119249943234</v>
      </c>
      <c r="I43" s="157"/>
    </row>
    <row r="44" spans="1:9" ht="15.75" x14ac:dyDescent="0.25">
      <c r="A44" s="19"/>
      <c r="B44" s="165">
        <f>DATE(19,1,1)</f>
        <v>6941</v>
      </c>
      <c r="C44" s="226">
        <v>22778766.690000001</v>
      </c>
      <c r="D44" s="226">
        <v>2442891.35</v>
      </c>
      <c r="E44" s="226">
        <v>2149317.9500000002</v>
      </c>
      <c r="F44" s="166">
        <f t="shared" si="6"/>
        <v>0.13658909795081731</v>
      </c>
      <c r="G44" s="241">
        <f t="shared" si="7"/>
        <v>0.10724423245760896</v>
      </c>
      <c r="H44" s="242">
        <f t="shared" si="8"/>
        <v>0.89275576754239105</v>
      </c>
      <c r="I44" s="157"/>
    </row>
    <row r="45" spans="1:9" ht="15.75" x14ac:dyDescent="0.25">
      <c r="A45" s="19"/>
      <c r="B45" s="165">
        <f>DATE(19,2,1)</f>
        <v>6972</v>
      </c>
      <c r="C45" s="226">
        <v>24810301.690000001</v>
      </c>
      <c r="D45" s="226">
        <v>2630594.64</v>
      </c>
      <c r="E45" s="226">
        <v>2669700.1800000002</v>
      </c>
      <c r="F45" s="166">
        <f t="shared" si="6"/>
        <v>-1.4647914508512352E-2</v>
      </c>
      <c r="G45" s="241">
        <f t="shared" si="7"/>
        <v>0.10602832133477375</v>
      </c>
      <c r="H45" s="242">
        <f t="shared" si="8"/>
        <v>0.89397167866522631</v>
      </c>
      <c r="I45" s="157"/>
    </row>
    <row r="46" spans="1:9" ht="15.75" x14ac:dyDescent="0.25">
      <c r="A46" s="19"/>
      <c r="B46" s="165">
        <f>DATE(19,3,1)</f>
        <v>7000</v>
      </c>
      <c r="C46" s="226">
        <v>31240200.559999999</v>
      </c>
      <c r="D46" s="226">
        <v>3403749.63</v>
      </c>
      <c r="E46" s="226">
        <v>3445390.71</v>
      </c>
      <c r="F46" s="166">
        <f t="shared" si="6"/>
        <v>-1.2086025506233536E-2</v>
      </c>
      <c r="G46" s="241">
        <f t="shared" si="7"/>
        <v>0.10895415423030819</v>
      </c>
      <c r="H46" s="242">
        <f t="shared" si="8"/>
        <v>0.89104584576969181</v>
      </c>
      <c r="I46" s="157"/>
    </row>
    <row r="47" spans="1:9" ht="15.75" x14ac:dyDescent="0.25">
      <c r="A47" s="19"/>
      <c r="B47" s="165">
        <f>DATE(19,4,1)</f>
        <v>7031</v>
      </c>
      <c r="C47" s="226">
        <v>25296918.420000002</v>
      </c>
      <c r="D47" s="226">
        <v>2843232.3</v>
      </c>
      <c r="E47" s="226">
        <v>2783592.72</v>
      </c>
      <c r="F47" s="166">
        <f t="shared" si="6"/>
        <v>2.1425397318900734E-2</v>
      </c>
      <c r="G47" s="241">
        <f t="shared" si="7"/>
        <v>0.1123944131373769</v>
      </c>
      <c r="H47" s="242">
        <f t="shared" si="8"/>
        <v>0.88760558686262314</v>
      </c>
      <c r="I47" s="157"/>
    </row>
    <row r="48" spans="1:9" ht="15.75" x14ac:dyDescent="0.25">
      <c r="A48" s="19"/>
      <c r="B48" s="165">
        <f>DATE(19,5,1)</f>
        <v>7061</v>
      </c>
      <c r="C48" s="226">
        <v>27344655.98</v>
      </c>
      <c r="D48" s="226">
        <v>2904564.69</v>
      </c>
      <c r="E48" s="226">
        <v>2802435.7</v>
      </c>
      <c r="F48" s="166">
        <f t="shared" si="6"/>
        <v>3.6442937834398753E-2</v>
      </c>
      <c r="G48" s="241">
        <f t="shared" si="7"/>
        <v>0.10622056068741223</v>
      </c>
      <c r="H48" s="242">
        <f t="shared" si="8"/>
        <v>0.89377943931258774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SUM(C38:C49)</f>
        <v>286324242.34000003</v>
      </c>
      <c r="D50" s="228">
        <f>SUM(D38:D49)</f>
        <v>30650840.100000001</v>
      </c>
      <c r="E50" s="228">
        <f>SUM(E38:E49)</f>
        <v>30010886.84</v>
      </c>
      <c r="F50" s="176">
        <f>(+D50-E50)/E50</f>
        <v>2.1324036954050961E-2</v>
      </c>
      <c r="G50" s="245">
        <f>D50/C50</f>
        <v>0.10704940611910604</v>
      </c>
      <c r="H50" s="246">
        <f>1-G50</f>
        <v>0.89295059388089393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77" t="s">
        <v>65</v>
      </c>
      <c r="B52" s="165">
        <f>DATE(18,7,1)</f>
        <v>6757</v>
      </c>
      <c r="C52" s="226">
        <v>184818671</v>
      </c>
      <c r="D52" s="226">
        <v>17539246.18</v>
      </c>
      <c r="E52" s="226">
        <v>17796071.329999998</v>
      </c>
      <c r="F52" s="166">
        <f t="shared" ref="F52:F62" si="9">(+D52-E52)/E52</f>
        <v>-1.4431564430012797E-2</v>
      </c>
      <c r="G52" s="241">
        <f t="shared" ref="G52:G62" si="10">D52/C52</f>
        <v>9.4899752741972696E-2</v>
      </c>
      <c r="H52" s="242">
        <f t="shared" ref="H52:H62" si="11">1-G52</f>
        <v>0.90510024725802729</v>
      </c>
      <c r="I52" s="157"/>
    </row>
    <row r="53" spans="1:9" ht="15.75" x14ac:dyDescent="0.25">
      <c r="A53" s="177"/>
      <c r="B53" s="165">
        <f>DATE(18,8,1)</f>
        <v>6788</v>
      </c>
      <c r="C53" s="226">
        <v>185402170.61000001</v>
      </c>
      <c r="D53" s="226">
        <v>17390823.879999999</v>
      </c>
      <c r="E53" s="226">
        <v>17013833.449999999</v>
      </c>
      <c r="F53" s="166">
        <f t="shared" si="9"/>
        <v>2.2157877065618021E-2</v>
      </c>
      <c r="G53" s="241">
        <f t="shared" si="10"/>
        <v>9.3800540860884574E-2</v>
      </c>
      <c r="H53" s="242">
        <f t="shared" si="11"/>
        <v>0.90619945913911537</v>
      </c>
      <c r="I53" s="157"/>
    </row>
    <row r="54" spans="1:9" ht="15.75" x14ac:dyDescent="0.25">
      <c r="A54" s="177"/>
      <c r="B54" s="165">
        <f>DATE(18,9,1)</f>
        <v>6819</v>
      </c>
      <c r="C54" s="226">
        <v>169616120.72999999</v>
      </c>
      <c r="D54" s="226">
        <v>16350217.75</v>
      </c>
      <c r="E54" s="226">
        <v>16916276.07</v>
      </c>
      <c r="F54" s="166">
        <f t="shared" si="9"/>
        <v>-3.3462348193989973E-2</v>
      </c>
      <c r="G54" s="241">
        <f t="shared" si="10"/>
        <v>9.6395423263020891E-2</v>
      </c>
      <c r="H54" s="242">
        <f t="shared" si="11"/>
        <v>0.90360457673697914</v>
      </c>
      <c r="I54" s="157"/>
    </row>
    <row r="55" spans="1:9" ht="15.75" x14ac:dyDescent="0.25">
      <c r="A55" s="177"/>
      <c r="B55" s="165">
        <f>DATE(18,10,1)</f>
        <v>6849</v>
      </c>
      <c r="C55" s="226">
        <v>166482334.12</v>
      </c>
      <c r="D55" s="226">
        <v>15575678.630000001</v>
      </c>
      <c r="E55" s="226">
        <v>15553875.560000001</v>
      </c>
      <c r="F55" s="166">
        <f t="shared" si="9"/>
        <v>1.4017773201215129E-3</v>
      </c>
      <c r="G55" s="241">
        <f t="shared" si="10"/>
        <v>9.3557545984266979E-2</v>
      </c>
      <c r="H55" s="242">
        <f t="shared" si="11"/>
        <v>0.90644245401573298</v>
      </c>
      <c r="I55" s="157"/>
    </row>
    <row r="56" spans="1:9" ht="15.75" x14ac:dyDescent="0.25">
      <c r="A56" s="177"/>
      <c r="B56" s="165">
        <f>DATE(18,11,1)</f>
        <v>6880</v>
      </c>
      <c r="C56" s="226">
        <v>162436599.84999999</v>
      </c>
      <c r="D56" s="226">
        <v>14866628.689999999</v>
      </c>
      <c r="E56" s="226">
        <v>15514479.140000001</v>
      </c>
      <c r="F56" s="166">
        <f t="shared" si="9"/>
        <v>-4.1757795679372135E-2</v>
      </c>
      <c r="G56" s="241">
        <f t="shared" si="10"/>
        <v>9.1522653784482058E-2</v>
      </c>
      <c r="H56" s="242">
        <f t="shared" si="11"/>
        <v>0.9084773462155179</v>
      </c>
      <c r="I56" s="157"/>
    </row>
    <row r="57" spans="1:9" ht="15.75" x14ac:dyDescent="0.25">
      <c r="A57" s="177"/>
      <c r="B57" s="165">
        <f>DATE(18,12,1)</f>
        <v>6910</v>
      </c>
      <c r="C57" s="226">
        <v>179551074.19</v>
      </c>
      <c r="D57" s="226">
        <v>16436113.140000001</v>
      </c>
      <c r="E57" s="226">
        <v>16895433.949999999</v>
      </c>
      <c r="F57" s="166">
        <f t="shared" si="9"/>
        <v>-2.718609130486398E-2</v>
      </c>
      <c r="G57" s="241">
        <f t="shared" si="10"/>
        <v>9.1540043489839518E-2</v>
      </c>
      <c r="H57" s="242">
        <f t="shared" si="11"/>
        <v>0.90845995651016054</v>
      </c>
      <c r="I57" s="157"/>
    </row>
    <row r="58" spans="1:9" ht="15.75" x14ac:dyDescent="0.25">
      <c r="A58" s="177"/>
      <c r="B58" s="165">
        <f>DATE(19,1,1)</f>
        <v>6941</v>
      </c>
      <c r="C58" s="226">
        <v>146567355.46000001</v>
      </c>
      <c r="D58" s="226">
        <v>13439931.689999999</v>
      </c>
      <c r="E58" s="226">
        <v>14722625.029999999</v>
      </c>
      <c r="F58" s="166">
        <f t="shared" si="9"/>
        <v>-8.7123956317999088E-2</v>
      </c>
      <c r="G58" s="241">
        <f t="shared" si="10"/>
        <v>9.1697988599295691E-2</v>
      </c>
      <c r="H58" s="242">
        <f t="shared" si="11"/>
        <v>0.90830201140070432</v>
      </c>
      <c r="I58" s="157"/>
    </row>
    <row r="59" spans="1:9" ht="15.75" x14ac:dyDescent="0.25">
      <c r="A59" s="177"/>
      <c r="B59" s="165">
        <f>DATE(19,2,1)</f>
        <v>6972</v>
      </c>
      <c r="C59" s="226">
        <v>162305515.59</v>
      </c>
      <c r="D59" s="226">
        <v>15398690.67</v>
      </c>
      <c r="E59" s="226">
        <v>16321322.119999999</v>
      </c>
      <c r="F59" s="166">
        <f t="shared" si="9"/>
        <v>-5.6529210269639557E-2</v>
      </c>
      <c r="G59" s="241">
        <f t="shared" si="10"/>
        <v>9.4874721995884814E-2</v>
      </c>
      <c r="H59" s="242">
        <f t="shared" si="11"/>
        <v>0.90512527800411524</v>
      </c>
      <c r="I59" s="157"/>
    </row>
    <row r="60" spans="1:9" ht="15.75" x14ac:dyDescent="0.25">
      <c r="A60" s="177"/>
      <c r="B60" s="165">
        <f>DATE(19,3,1)</f>
        <v>7000</v>
      </c>
      <c r="C60" s="226">
        <v>197401131</v>
      </c>
      <c r="D60" s="226">
        <v>18771751.93</v>
      </c>
      <c r="E60" s="226">
        <v>19040351.649999999</v>
      </c>
      <c r="F60" s="166">
        <f t="shared" si="9"/>
        <v>-1.4106867611344711E-2</v>
      </c>
      <c r="G60" s="241">
        <f t="shared" si="10"/>
        <v>9.5094449737473899E-2</v>
      </c>
      <c r="H60" s="242">
        <f t="shared" si="11"/>
        <v>0.90490555026252606</v>
      </c>
      <c r="I60" s="157"/>
    </row>
    <row r="61" spans="1:9" ht="15.75" x14ac:dyDescent="0.25">
      <c r="A61" s="177"/>
      <c r="B61" s="165">
        <f>DATE(19,4,1)</f>
        <v>7031</v>
      </c>
      <c r="C61" s="226">
        <v>171913400.49000001</v>
      </c>
      <c r="D61" s="226">
        <v>15846165.699999999</v>
      </c>
      <c r="E61" s="226">
        <v>17354813.780000001</v>
      </c>
      <c r="F61" s="166">
        <f t="shared" si="9"/>
        <v>-8.6929661079889836E-2</v>
      </c>
      <c r="G61" s="241">
        <f t="shared" si="10"/>
        <v>9.2175279267550467E-2</v>
      </c>
      <c r="H61" s="242">
        <f t="shared" si="11"/>
        <v>0.90782472073244957</v>
      </c>
      <c r="I61" s="157"/>
    </row>
    <row r="62" spans="1:9" ht="15.75" x14ac:dyDescent="0.25">
      <c r="A62" s="177"/>
      <c r="B62" s="165">
        <f>DATE(19,5,1)</f>
        <v>7061</v>
      </c>
      <c r="C62" s="226">
        <v>192059579.77000001</v>
      </c>
      <c r="D62" s="226">
        <v>18252968.039999999</v>
      </c>
      <c r="E62" s="226">
        <v>17005402.16</v>
      </c>
      <c r="F62" s="166">
        <f t="shared" si="9"/>
        <v>7.3362915399584935E-2</v>
      </c>
      <c r="G62" s="241">
        <f t="shared" si="10"/>
        <v>9.5038050493803802E-2</v>
      </c>
      <c r="H62" s="242">
        <f t="shared" si="11"/>
        <v>0.90496194950619624</v>
      </c>
      <c r="I62" s="157"/>
    </row>
    <row r="63" spans="1:9" ht="15.75" thickBot="1" x14ac:dyDescent="0.25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8"/>
      <c r="C64" s="228">
        <f>SUM(C52:C63)</f>
        <v>1918553952.8099999</v>
      </c>
      <c r="D64" s="228">
        <f>SUM(D52:D63)</f>
        <v>179868216.29999998</v>
      </c>
      <c r="E64" s="228">
        <f>SUM(E52:E63)</f>
        <v>184134484.24000001</v>
      </c>
      <c r="F64" s="176">
        <f>(+D64-E64)/E64</f>
        <v>-2.3169304530917707E-2</v>
      </c>
      <c r="G64" s="245">
        <f>D64/C64</f>
        <v>9.3751971914345672E-2</v>
      </c>
      <c r="H64" s="246">
        <f>1-G64</f>
        <v>0.9062480280856543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16</v>
      </c>
      <c r="B66" s="165">
        <f>DATE(18,7,1)</f>
        <v>6757</v>
      </c>
      <c r="C66" s="226">
        <v>111478358.27</v>
      </c>
      <c r="D66" s="226">
        <v>11381105.73</v>
      </c>
      <c r="E66" s="226">
        <v>12386204.68</v>
      </c>
      <c r="F66" s="166">
        <f t="shared" ref="F66:F76" si="12">(+D66-E66)/E66</f>
        <v>-8.1146644671788143E-2</v>
      </c>
      <c r="G66" s="241">
        <f t="shared" ref="G66:G76" si="13">D66/C66</f>
        <v>0.10209251290223545</v>
      </c>
      <c r="H66" s="242">
        <f t="shared" ref="H66:H76" si="14">1-G66</f>
        <v>0.89790748709776458</v>
      </c>
      <c r="I66" s="157"/>
    </row>
    <row r="67" spans="1:9" ht="15.75" x14ac:dyDescent="0.25">
      <c r="A67" s="164"/>
      <c r="B67" s="165">
        <f>DATE(18,8,1)</f>
        <v>6788</v>
      </c>
      <c r="C67" s="226">
        <v>118354764.09</v>
      </c>
      <c r="D67" s="226">
        <v>11018606.25</v>
      </c>
      <c r="E67" s="226">
        <v>11735802.960000001</v>
      </c>
      <c r="F67" s="166">
        <f t="shared" si="12"/>
        <v>-6.1111856806430297E-2</v>
      </c>
      <c r="G67" s="241">
        <f t="shared" si="13"/>
        <v>9.309812186031792E-2</v>
      </c>
      <c r="H67" s="242">
        <f t="shared" si="14"/>
        <v>0.90690187813968204</v>
      </c>
      <c r="I67" s="157"/>
    </row>
    <row r="68" spans="1:9" ht="15.75" x14ac:dyDescent="0.25">
      <c r="A68" s="164"/>
      <c r="B68" s="165">
        <f>DATE(18,9,1)</f>
        <v>6819</v>
      </c>
      <c r="C68" s="226">
        <v>117946300.34</v>
      </c>
      <c r="D68" s="226">
        <v>11865007.26</v>
      </c>
      <c r="E68" s="226">
        <v>11892155.970000001</v>
      </c>
      <c r="F68" s="166">
        <f t="shared" si="12"/>
        <v>-2.282909008970969E-3</v>
      </c>
      <c r="G68" s="241">
        <f t="shared" si="13"/>
        <v>0.10059668871170291</v>
      </c>
      <c r="H68" s="242">
        <f t="shared" si="14"/>
        <v>0.89940331128829709</v>
      </c>
      <c r="I68" s="157"/>
    </row>
    <row r="69" spans="1:9" ht="15.75" x14ac:dyDescent="0.25">
      <c r="A69" s="164"/>
      <c r="B69" s="165">
        <f>DATE(18,10,1)</f>
        <v>6849</v>
      </c>
      <c r="C69" s="226">
        <v>111145625.37</v>
      </c>
      <c r="D69" s="226">
        <v>11049162.109999999</v>
      </c>
      <c r="E69" s="226">
        <v>11365393.67</v>
      </c>
      <c r="F69" s="166">
        <f t="shared" si="12"/>
        <v>-2.7824074482762771E-2</v>
      </c>
      <c r="G69" s="241">
        <f t="shared" si="13"/>
        <v>9.9411578937252054E-2</v>
      </c>
      <c r="H69" s="242">
        <f t="shared" si="14"/>
        <v>0.90058842106274795</v>
      </c>
      <c r="I69" s="157"/>
    </row>
    <row r="70" spans="1:9" ht="15.75" x14ac:dyDescent="0.25">
      <c r="A70" s="164"/>
      <c r="B70" s="165">
        <f>DATE(18,11,1)</f>
        <v>6880</v>
      </c>
      <c r="C70" s="226">
        <v>103133163.15000001</v>
      </c>
      <c r="D70" s="226">
        <v>10320344.720000001</v>
      </c>
      <c r="E70" s="226">
        <v>10423173.18</v>
      </c>
      <c r="F70" s="166">
        <f t="shared" si="12"/>
        <v>-9.8653700005010402E-3</v>
      </c>
      <c r="G70" s="241">
        <f t="shared" si="13"/>
        <v>0.10006814883578988</v>
      </c>
      <c r="H70" s="242">
        <f t="shared" si="14"/>
        <v>0.89993185116421015</v>
      </c>
      <c r="I70" s="157"/>
    </row>
    <row r="71" spans="1:9" ht="15.75" x14ac:dyDescent="0.25">
      <c r="A71" s="164"/>
      <c r="B71" s="165">
        <f>DATE(18,12,1)</f>
        <v>6910</v>
      </c>
      <c r="C71" s="226">
        <v>121311765.33</v>
      </c>
      <c r="D71" s="226">
        <v>11723908.33</v>
      </c>
      <c r="E71" s="226">
        <v>11374202.050000001</v>
      </c>
      <c r="F71" s="166">
        <f t="shared" si="12"/>
        <v>3.0745566015331977E-2</v>
      </c>
      <c r="G71" s="241">
        <f t="shared" si="13"/>
        <v>9.6642797160752525E-2</v>
      </c>
      <c r="H71" s="242">
        <f t="shared" si="14"/>
        <v>0.90335720283924748</v>
      </c>
      <c r="I71" s="157"/>
    </row>
    <row r="72" spans="1:9" ht="15.75" x14ac:dyDescent="0.25">
      <c r="A72" s="164"/>
      <c r="B72" s="165">
        <f>DATE(19,1,1)</f>
        <v>6941</v>
      </c>
      <c r="C72" s="226">
        <v>101897085.93000001</v>
      </c>
      <c r="D72" s="226">
        <v>10040856.289999999</v>
      </c>
      <c r="E72" s="226">
        <v>9601370.9199999999</v>
      </c>
      <c r="F72" s="166">
        <f t="shared" si="12"/>
        <v>4.5773189439492996E-2</v>
      </c>
      <c r="G72" s="241">
        <f t="shared" si="13"/>
        <v>9.8539189794865589E-2</v>
      </c>
      <c r="H72" s="242">
        <f t="shared" si="14"/>
        <v>0.90146081020513447</v>
      </c>
      <c r="I72" s="157"/>
    </row>
    <row r="73" spans="1:9" ht="15.75" x14ac:dyDescent="0.25">
      <c r="A73" s="164"/>
      <c r="B73" s="165">
        <f>DATE(19,2,1)</f>
        <v>6972</v>
      </c>
      <c r="C73" s="226">
        <v>98535626.560000002</v>
      </c>
      <c r="D73" s="226">
        <v>9810243.6999999993</v>
      </c>
      <c r="E73" s="226">
        <v>9958011.3599999994</v>
      </c>
      <c r="F73" s="166">
        <f t="shared" si="12"/>
        <v>-1.4839073250464756E-2</v>
      </c>
      <c r="G73" s="241">
        <f t="shared" si="13"/>
        <v>9.9560372653908852E-2</v>
      </c>
      <c r="H73" s="242">
        <f t="shared" si="14"/>
        <v>0.90043962734609118</v>
      </c>
      <c r="I73" s="157"/>
    </row>
    <row r="74" spans="1:9" ht="15.75" x14ac:dyDescent="0.25">
      <c r="A74" s="164"/>
      <c r="B74" s="165">
        <f>DATE(19,3,1)</f>
        <v>7000</v>
      </c>
      <c r="C74" s="226">
        <v>125771606.76000001</v>
      </c>
      <c r="D74" s="226">
        <v>12873586.439999999</v>
      </c>
      <c r="E74" s="226">
        <v>11915524.59</v>
      </c>
      <c r="F74" s="166">
        <f t="shared" si="12"/>
        <v>8.0404504456651843E-2</v>
      </c>
      <c r="G74" s="241">
        <f t="shared" si="13"/>
        <v>0.10235685757410769</v>
      </c>
      <c r="H74" s="242">
        <f t="shared" si="14"/>
        <v>0.89764314242589227</v>
      </c>
      <c r="I74" s="157"/>
    </row>
    <row r="75" spans="1:9" ht="15.75" x14ac:dyDescent="0.25">
      <c r="A75" s="164"/>
      <c r="B75" s="165">
        <f>DATE(19,4,1)</f>
        <v>7031</v>
      </c>
      <c r="C75" s="226">
        <v>107412743.27</v>
      </c>
      <c r="D75" s="226">
        <v>11149391.83</v>
      </c>
      <c r="E75" s="226">
        <v>11125906.65</v>
      </c>
      <c r="F75" s="166">
        <f t="shared" si="12"/>
        <v>2.1108553881314203E-3</v>
      </c>
      <c r="G75" s="241">
        <f t="shared" si="13"/>
        <v>0.10379952592751615</v>
      </c>
      <c r="H75" s="242">
        <f t="shared" si="14"/>
        <v>0.89620047407248382</v>
      </c>
      <c r="I75" s="157"/>
    </row>
    <row r="76" spans="1:9" ht="15.75" x14ac:dyDescent="0.25">
      <c r="A76" s="164"/>
      <c r="B76" s="165">
        <f>DATE(19,5,1)</f>
        <v>7061</v>
      </c>
      <c r="C76" s="226">
        <v>128915004.59</v>
      </c>
      <c r="D76" s="226">
        <v>12382197.07</v>
      </c>
      <c r="E76" s="226">
        <v>10440558.300000001</v>
      </c>
      <c r="F76" s="166">
        <f t="shared" si="12"/>
        <v>0.18597077993424924</v>
      </c>
      <c r="G76" s="241">
        <f t="shared" si="13"/>
        <v>9.6049308685053514E-2</v>
      </c>
      <c r="H76" s="242">
        <f t="shared" si="14"/>
        <v>0.90395069131494643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SUM(C66:C77)</f>
        <v>1245902043.6599998</v>
      </c>
      <c r="D78" s="230">
        <f>SUM(D66:D77)</f>
        <v>123614409.72999999</v>
      </c>
      <c r="E78" s="271">
        <f>SUM(E66:E77)</f>
        <v>122218304.33000001</v>
      </c>
      <c r="F78" s="272">
        <f>(+D78-E78)/E78</f>
        <v>1.1423046716720685E-2</v>
      </c>
      <c r="G78" s="249">
        <f>D78/C78</f>
        <v>9.9216796664741425E-2</v>
      </c>
      <c r="H78" s="270">
        <f>1-G78</f>
        <v>0.90078320333525852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66</v>
      </c>
      <c r="B80" s="165">
        <f>DATE(18,7,1)</f>
        <v>6757</v>
      </c>
      <c r="C80" s="226">
        <v>43839500.539999999</v>
      </c>
      <c r="D80" s="226">
        <v>4536017.05</v>
      </c>
      <c r="E80" s="226">
        <v>4991725.4800000004</v>
      </c>
      <c r="F80" s="166">
        <f t="shared" ref="F80:F90" si="15">(+D80-E80)/E80</f>
        <v>-9.1292766764890398E-2</v>
      </c>
      <c r="G80" s="241">
        <f t="shared" ref="G80:G90" si="16">D80/C80</f>
        <v>0.10346872099651891</v>
      </c>
      <c r="H80" s="242">
        <f t="shared" ref="H80:H90" si="17">1-G80</f>
        <v>0.89653127900348106</v>
      </c>
      <c r="I80" s="157"/>
    </row>
    <row r="81" spans="1:9" ht="15.75" x14ac:dyDescent="0.25">
      <c r="A81" s="164"/>
      <c r="B81" s="165">
        <f>DATE(18,8,1)</f>
        <v>6788</v>
      </c>
      <c r="C81" s="226">
        <v>43029880.969999999</v>
      </c>
      <c r="D81" s="226">
        <v>4611969.17</v>
      </c>
      <c r="E81" s="226">
        <v>4592418.47</v>
      </c>
      <c r="F81" s="166">
        <f t="shared" si="15"/>
        <v>4.2571686634646317E-3</v>
      </c>
      <c r="G81" s="241">
        <f t="shared" si="16"/>
        <v>0.1071806164933484</v>
      </c>
      <c r="H81" s="242">
        <f t="shared" si="17"/>
        <v>0.89281938350665158</v>
      </c>
      <c r="I81" s="157"/>
    </row>
    <row r="82" spans="1:9" ht="15.75" x14ac:dyDescent="0.25">
      <c r="A82" s="164"/>
      <c r="B82" s="165">
        <f>DATE(18,9,1)</f>
        <v>6819</v>
      </c>
      <c r="C82" s="226">
        <v>42955268.140000001</v>
      </c>
      <c r="D82" s="226">
        <v>4472303.22</v>
      </c>
      <c r="E82" s="226">
        <v>5151289.25</v>
      </c>
      <c r="F82" s="166">
        <f t="shared" si="15"/>
        <v>-0.13180895054572994</v>
      </c>
      <c r="G82" s="241">
        <f t="shared" si="16"/>
        <v>0.10411536031910799</v>
      </c>
      <c r="H82" s="242">
        <f t="shared" si="17"/>
        <v>0.89588463968089205</v>
      </c>
      <c r="I82" s="157"/>
    </row>
    <row r="83" spans="1:9" ht="15.75" x14ac:dyDescent="0.25">
      <c r="A83" s="164"/>
      <c r="B83" s="165">
        <f>DATE(18,10,1)</f>
        <v>6849</v>
      </c>
      <c r="C83" s="226">
        <v>40582774.369999997</v>
      </c>
      <c r="D83" s="226">
        <v>4257625.9400000004</v>
      </c>
      <c r="E83" s="226">
        <v>4567525</v>
      </c>
      <c r="F83" s="166">
        <f t="shared" si="15"/>
        <v>-6.7848355509821975E-2</v>
      </c>
      <c r="G83" s="241">
        <f t="shared" si="16"/>
        <v>0.10491214575875239</v>
      </c>
      <c r="H83" s="242">
        <f t="shared" si="17"/>
        <v>0.89508785424124759</v>
      </c>
      <c r="I83" s="157"/>
    </row>
    <row r="84" spans="1:9" ht="15.75" x14ac:dyDescent="0.25">
      <c r="A84" s="164"/>
      <c r="B84" s="165">
        <f>DATE(18,11,1)</f>
        <v>6880</v>
      </c>
      <c r="C84" s="226">
        <v>42459394.159999996</v>
      </c>
      <c r="D84" s="226">
        <v>4366684.07</v>
      </c>
      <c r="E84" s="226">
        <v>4348004.21</v>
      </c>
      <c r="F84" s="166">
        <f t="shared" si="15"/>
        <v>4.296191792325872E-3</v>
      </c>
      <c r="G84" s="241">
        <f t="shared" si="16"/>
        <v>0.10284376770768321</v>
      </c>
      <c r="H84" s="242">
        <f t="shared" si="17"/>
        <v>0.89715623229231678</v>
      </c>
      <c r="I84" s="157"/>
    </row>
    <row r="85" spans="1:9" ht="15.75" x14ac:dyDescent="0.25">
      <c r="A85" s="164"/>
      <c r="B85" s="165">
        <f>DATE(18,12,1)</f>
        <v>6910</v>
      </c>
      <c r="C85" s="226">
        <v>48679067.109999999</v>
      </c>
      <c r="D85" s="226">
        <v>4828790.12</v>
      </c>
      <c r="E85" s="226">
        <v>4903510.72</v>
      </c>
      <c r="F85" s="166">
        <f t="shared" si="15"/>
        <v>-1.5238184286053653E-2</v>
      </c>
      <c r="G85" s="241">
        <f t="shared" si="16"/>
        <v>9.9196439181720386E-2</v>
      </c>
      <c r="H85" s="242">
        <f t="shared" si="17"/>
        <v>0.90080356081827961</v>
      </c>
      <c r="I85" s="157"/>
    </row>
    <row r="86" spans="1:9" ht="15.75" x14ac:dyDescent="0.25">
      <c r="A86" s="164"/>
      <c r="B86" s="165">
        <f>DATE(19,1,1)</f>
        <v>6941</v>
      </c>
      <c r="C86" s="226">
        <v>39173781.119999997</v>
      </c>
      <c r="D86" s="226">
        <v>4076690.38</v>
      </c>
      <c r="E86" s="226">
        <v>4062330.47</v>
      </c>
      <c r="F86" s="166">
        <f t="shared" si="15"/>
        <v>3.5348945897057172E-3</v>
      </c>
      <c r="G86" s="241">
        <f t="shared" si="16"/>
        <v>0.10406680855013671</v>
      </c>
      <c r="H86" s="242">
        <f t="shared" si="17"/>
        <v>0.89593319144986328</v>
      </c>
      <c r="I86" s="157"/>
    </row>
    <row r="87" spans="1:9" ht="15.75" x14ac:dyDescent="0.25">
      <c r="A87" s="164"/>
      <c r="B87" s="165">
        <f>DATE(19,2,1)</f>
        <v>6972</v>
      </c>
      <c r="C87" s="226">
        <v>45205373.259999998</v>
      </c>
      <c r="D87" s="226">
        <v>4582840.96</v>
      </c>
      <c r="E87" s="226">
        <v>4744487.6900000004</v>
      </c>
      <c r="F87" s="166">
        <f t="shared" si="15"/>
        <v>-3.4070428792702889E-2</v>
      </c>
      <c r="G87" s="241">
        <f t="shared" si="16"/>
        <v>0.10137823514124436</v>
      </c>
      <c r="H87" s="242">
        <f t="shared" si="17"/>
        <v>0.89862176485875567</v>
      </c>
      <c r="I87" s="157"/>
    </row>
    <row r="88" spans="1:9" ht="15.75" x14ac:dyDescent="0.25">
      <c r="A88" s="164"/>
      <c r="B88" s="165">
        <f>DATE(19,3,1)</f>
        <v>7000</v>
      </c>
      <c r="C88" s="226">
        <v>53688161.079999998</v>
      </c>
      <c r="D88" s="226">
        <v>5571169.2199999997</v>
      </c>
      <c r="E88" s="226">
        <v>5877350.3099999996</v>
      </c>
      <c r="F88" s="166">
        <f t="shared" si="15"/>
        <v>-5.2095089428147404E-2</v>
      </c>
      <c r="G88" s="241">
        <f t="shared" si="16"/>
        <v>0.10376904531519483</v>
      </c>
      <c r="H88" s="242">
        <f t="shared" si="17"/>
        <v>0.89623095468480518</v>
      </c>
      <c r="I88" s="157"/>
    </row>
    <row r="89" spans="1:9" ht="15.75" x14ac:dyDescent="0.25">
      <c r="A89" s="164"/>
      <c r="B89" s="165">
        <f>DATE(19,4,1)</f>
        <v>7031</v>
      </c>
      <c r="C89" s="226">
        <v>43911740.990000002</v>
      </c>
      <c r="D89" s="226">
        <v>4562955.4800000004</v>
      </c>
      <c r="E89" s="226">
        <v>4747529.41</v>
      </c>
      <c r="F89" s="166">
        <f t="shared" si="15"/>
        <v>-3.8877890805946516E-2</v>
      </c>
      <c r="G89" s="241">
        <f t="shared" si="16"/>
        <v>0.10391196926214152</v>
      </c>
      <c r="H89" s="242">
        <f t="shared" si="17"/>
        <v>0.89608803073785848</v>
      </c>
      <c r="I89" s="157"/>
    </row>
    <row r="90" spans="1:9" ht="15.75" x14ac:dyDescent="0.25">
      <c r="A90" s="164"/>
      <c r="B90" s="165">
        <f>DATE(19,5,1)</f>
        <v>7061</v>
      </c>
      <c r="C90" s="226">
        <v>46629909.689999998</v>
      </c>
      <c r="D90" s="226">
        <v>4716491.83</v>
      </c>
      <c r="E90" s="226">
        <v>4634455.9400000004</v>
      </c>
      <c r="F90" s="166">
        <f t="shared" si="15"/>
        <v>1.7701298936073098E-2</v>
      </c>
      <c r="G90" s="241">
        <f t="shared" si="16"/>
        <v>0.10114735073165869</v>
      </c>
      <c r="H90" s="242">
        <f t="shared" si="17"/>
        <v>0.8988526492683413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SUM(C80:C91)</f>
        <v>490154851.42999995</v>
      </c>
      <c r="D92" s="230">
        <f>SUM(D80:D91)</f>
        <v>50583537.439999998</v>
      </c>
      <c r="E92" s="271">
        <f>SUM(E80:E91)</f>
        <v>52620626.950000003</v>
      </c>
      <c r="F92" s="272">
        <f>(+D92-E92)/E92</f>
        <v>-3.8712756348107426E-2</v>
      </c>
      <c r="G92" s="249">
        <f>D92/C92</f>
        <v>0.10319909573969388</v>
      </c>
      <c r="H92" s="270">
        <f>1-G92</f>
        <v>0.89680090426030612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17</v>
      </c>
      <c r="B94" s="165">
        <f>DATE(18,7,1)</f>
        <v>6757</v>
      </c>
      <c r="C94" s="226">
        <v>49505917.039999999</v>
      </c>
      <c r="D94" s="226">
        <v>5381167.3099999996</v>
      </c>
      <c r="E94" s="226">
        <v>5822170.9199999999</v>
      </c>
      <c r="F94" s="166">
        <f t="shared" ref="F94:F104" si="18">(+D94-E94)/E94</f>
        <v>-7.5745562275591927E-2</v>
      </c>
      <c r="G94" s="241">
        <f t="shared" ref="G94:G104" si="19">D94/C94</f>
        <v>0.10869745743023206</v>
      </c>
      <c r="H94" s="242">
        <f t="shared" ref="H94:H104" si="20">1-G94</f>
        <v>0.89130254256976793</v>
      </c>
      <c r="I94" s="157"/>
    </row>
    <row r="95" spans="1:9" ht="15.75" x14ac:dyDescent="0.25">
      <c r="A95" s="164"/>
      <c r="B95" s="165">
        <f>DATE(18,8,1)</f>
        <v>6788</v>
      </c>
      <c r="C95" s="226">
        <v>49219766.57</v>
      </c>
      <c r="D95" s="226">
        <v>5291596.82</v>
      </c>
      <c r="E95" s="226">
        <v>5584923.3300000001</v>
      </c>
      <c r="F95" s="166">
        <f t="shared" si="18"/>
        <v>-5.2521134609738639E-2</v>
      </c>
      <c r="G95" s="241">
        <f t="shared" si="19"/>
        <v>0.10750958789035152</v>
      </c>
      <c r="H95" s="242">
        <f t="shared" si="20"/>
        <v>0.89249041210964852</v>
      </c>
      <c r="I95" s="157"/>
    </row>
    <row r="96" spans="1:9" ht="15.75" x14ac:dyDescent="0.25">
      <c r="A96" s="164"/>
      <c r="B96" s="165">
        <f>DATE(18,9,1)</f>
        <v>6819</v>
      </c>
      <c r="C96" s="226">
        <v>46813151.350000001</v>
      </c>
      <c r="D96" s="226">
        <v>5027629.3</v>
      </c>
      <c r="E96" s="226">
        <v>5571414.2400000002</v>
      </c>
      <c r="F96" s="166">
        <f t="shared" si="18"/>
        <v>-9.7602676192319951E-2</v>
      </c>
      <c r="G96" s="241">
        <f t="shared" si="19"/>
        <v>0.10739779645276967</v>
      </c>
      <c r="H96" s="242">
        <f t="shared" si="20"/>
        <v>0.8926022035472303</v>
      </c>
      <c r="I96" s="157"/>
    </row>
    <row r="97" spans="1:9" ht="15.75" x14ac:dyDescent="0.25">
      <c r="A97" s="164"/>
      <c r="B97" s="165">
        <f>DATE(18,10,1)</f>
        <v>6849</v>
      </c>
      <c r="C97" s="226">
        <v>46725704.259999998</v>
      </c>
      <c r="D97" s="226">
        <v>5016135.3</v>
      </c>
      <c r="E97" s="226">
        <v>5441119.0599999996</v>
      </c>
      <c r="F97" s="166">
        <f t="shared" si="18"/>
        <v>-7.8105947565867043E-2</v>
      </c>
      <c r="G97" s="241">
        <f t="shared" si="19"/>
        <v>0.10735280247651852</v>
      </c>
      <c r="H97" s="242">
        <f t="shared" si="20"/>
        <v>0.89264719752348154</v>
      </c>
      <c r="I97" s="157"/>
    </row>
    <row r="98" spans="1:9" ht="15.75" x14ac:dyDescent="0.25">
      <c r="A98" s="164"/>
      <c r="B98" s="165">
        <f>DATE(18,11,1)</f>
        <v>6880</v>
      </c>
      <c r="C98" s="226">
        <v>42300709.460000001</v>
      </c>
      <c r="D98" s="226">
        <v>4899996.9800000004</v>
      </c>
      <c r="E98" s="226">
        <v>5393254.4000000004</v>
      </c>
      <c r="F98" s="166">
        <f t="shared" si="18"/>
        <v>-9.1458214913800448E-2</v>
      </c>
      <c r="G98" s="241">
        <f t="shared" si="19"/>
        <v>0.11583722926996035</v>
      </c>
      <c r="H98" s="242">
        <f t="shared" si="20"/>
        <v>0.88416277073003968</v>
      </c>
      <c r="I98" s="157"/>
    </row>
    <row r="99" spans="1:9" ht="15.75" x14ac:dyDescent="0.25">
      <c r="A99" s="164"/>
      <c r="B99" s="165">
        <f>DATE(18,12,1)</f>
        <v>6910</v>
      </c>
      <c r="C99" s="226">
        <v>46873294.240000002</v>
      </c>
      <c r="D99" s="226">
        <v>5247804.62</v>
      </c>
      <c r="E99" s="226">
        <v>5595361.4299999997</v>
      </c>
      <c r="F99" s="166">
        <f t="shared" si="18"/>
        <v>-6.2115167062585915E-2</v>
      </c>
      <c r="G99" s="241">
        <f t="shared" si="19"/>
        <v>0.11195723929985084</v>
      </c>
      <c r="H99" s="242">
        <f t="shared" si="20"/>
        <v>0.8880427607001492</v>
      </c>
      <c r="I99" s="157"/>
    </row>
    <row r="100" spans="1:9" ht="15.75" x14ac:dyDescent="0.25">
      <c r="A100" s="164"/>
      <c r="B100" s="165">
        <f>DATE(19,1,1)</f>
        <v>6941</v>
      </c>
      <c r="C100" s="226">
        <v>41050062.549999997</v>
      </c>
      <c r="D100" s="226">
        <v>4476117.8099999996</v>
      </c>
      <c r="E100" s="226">
        <v>5047120.87</v>
      </c>
      <c r="F100" s="166">
        <f t="shared" si="18"/>
        <v>-0.11313441360083784</v>
      </c>
      <c r="G100" s="241">
        <f t="shared" si="19"/>
        <v>0.1090404625948615</v>
      </c>
      <c r="H100" s="242">
        <f t="shared" si="20"/>
        <v>0.89095953740513845</v>
      </c>
      <c r="I100" s="157"/>
    </row>
    <row r="101" spans="1:9" ht="15.75" x14ac:dyDescent="0.25">
      <c r="A101" s="164"/>
      <c r="B101" s="165">
        <f>DATE(19,2,1)</f>
        <v>6972</v>
      </c>
      <c r="C101" s="226">
        <v>43373573.409999996</v>
      </c>
      <c r="D101" s="226">
        <v>4898275.7699999996</v>
      </c>
      <c r="E101" s="226">
        <v>5208050.55</v>
      </c>
      <c r="F101" s="166">
        <f t="shared" si="18"/>
        <v>-5.9479987190216556E-2</v>
      </c>
      <c r="G101" s="241">
        <f t="shared" si="19"/>
        <v>0.11293226231783515</v>
      </c>
      <c r="H101" s="242">
        <f t="shared" si="20"/>
        <v>0.88706773768216485</v>
      </c>
      <c r="I101" s="157"/>
    </row>
    <row r="102" spans="1:9" ht="15.75" x14ac:dyDescent="0.25">
      <c r="A102" s="164"/>
      <c r="B102" s="165">
        <f>DATE(19,3,1)</f>
        <v>7000</v>
      </c>
      <c r="C102" s="226">
        <v>56103618.450000003</v>
      </c>
      <c r="D102" s="226">
        <v>6230162.5899999999</v>
      </c>
      <c r="E102" s="226">
        <v>6546343.5599999996</v>
      </c>
      <c r="F102" s="166">
        <f t="shared" si="18"/>
        <v>-4.8298865939752141E-2</v>
      </c>
      <c r="G102" s="241">
        <f t="shared" si="19"/>
        <v>0.11104742906292882</v>
      </c>
      <c r="H102" s="242">
        <f t="shared" si="20"/>
        <v>0.88895257093707114</v>
      </c>
      <c r="I102" s="157"/>
    </row>
    <row r="103" spans="1:9" ht="15.75" x14ac:dyDescent="0.25">
      <c r="A103" s="164"/>
      <c r="B103" s="165">
        <f>DATE(19,4,1)</f>
        <v>7031</v>
      </c>
      <c r="C103" s="226">
        <v>48299383.799999997</v>
      </c>
      <c r="D103" s="226">
        <v>5350332.9000000004</v>
      </c>
      <c r="E103" s="226">
        <v>5597873.2000000002</v>
      </c>
      <c r="F103" s="166">
        <f t="shared" si="18"/>
        <v>-4.422041928352357E-2</v>
      </c>
      <c r="G103" s="241">
        <f t="shared" si="19"/>
        <v>0.11077435112122488</v>
      </c>
      <c r="H103" s="242">
        <f t="shared" si="20"/>
        <v>0.88922564887877509</v>
      </c>
      <c r="I103" s="157"/>
    </row>
    <row r="104" spans="1:9" ht="15.75" x14ac:dyDescent="0.25">
      <c r="A104" s="164"/>
      <c r="B104" s="165">
        <f>DATE(19,5,1)</f>
        <v>7061</v>
      </c>
      <c r="C104" s="226">
        <v>51155009.939999998</v>
      </c>
      <c r="D104" s="226">
        <v>5713926.5300000003</v>
      </c>
      <c r="E104" s="226">
        <v>5227940.91</v>
      </c>
      <c r="F104" s="166">
        <f t="shared" si="18"/>
        <v>9.2959279449851343E-2</v>
      </c>
      <c r="G104" s="241">
        <f t="shared" si="19"/>
        <v>0.11169827816868567</v>
      </c>
      <c r="H104" s="242">
        <f t="shared" si="20"/>
        <v>0.88830172183131428</v>
      </c>
      <c r="I104" s="157"/>
    </row>
    <row r="105" spans="1:9" ht="15.75" thickBot="1" x14ac:dyDescent="0.25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Top="1" thickBot="1" x14ac:dyDescent="0.3">
      <c r="A106" s="174" t="s">
        <v>14</v>
      </c>
      <c r="B106" s="175"/>
      <c r="C106" s="228">
        <f>SUM(C94:C105)</f>
        <v>521420191.06999999</v>
      </c>
      <c r="D106" s="230">
        <f>SUM(D94:D105)</f>
        <v>57533145.93</v>
      </c>
      <c r="E106" s="271">
        <f>SUM(E94:E105)</f>
        <v>61035572.469999999</v>
      </c>
      <c r="F106" s="272">
        <f>(+D106-E106)/E106</f>
        <v>-5.7383365114196318E-2</v>
      </c>
      <c r="G106" s="249">
        <f>D106/C106</f>
        <v>0.11033931350440598</v>
      </c>
      <c r="H106" s="270">
        <f>1-G106</f>
        <v>0.88966068649559404</v>
      </c>
      <c r="I106" s="157"/>
    </row>
    <row r="107" spans="1:9" ht="15.75" thickTop="1" x14ac:dyDescent="0.2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 x14ac:dyDescent="0.25">
      <c r="A108" s="164" t="s">
        <v>67</v>
      </c>
      <c r="B108" s="165">
        <f>DATE(18,7,1)</f>
        <v>6757</v>
      </c>
      <c r="C108" s="226">
        <v>116042592.23</v>
      </c>
      <c r="D108" s="226">
        <v>11368416.640000001</v>
      </c>
      <c r="E108" s="226">
        <v>10117966.68</v>
      </c>
      <c r="F108" s="166">
        <f t="shared" ref="F108:F118" si="21">(+D108-E108)/E108</f>
        <v>0.12358708024525743</v>
      </c>
      <c r="G108" s="241">
        <f t="shared" ref="G108:G118" si="22">D108/C108</f>
        <v>9.7967620522191087E-2</v>
      </c>
      <c r="H108" s="242">
        <f t="shared" ref="H108:H118" si="23">1-G108</f>
        <v>0.9020323794778089</v>
      </c>
      <c r="I108" s="157"/>
    </row>
    <row r="109" spans="1:9" ht="15.75" x14ac:dyDescent="0.25">
      <c r="A109" s="164"/>
      <c r="B109" s="165">
        <f>DATE(18,8,1)</f>
        <v>6788</v>
      </c>
      <c r="C109" s="226">
        <v>116465353.84</v>
      </c>
      <c r="D109" s="226">
        <v>11900739.720000001</v>
      </c>
      <c r="E109" s="226">
        <v>10081520.41</v>
      </c>
      <c r="F109" s="166">
        <f t="shared" si="21"/>
        <v>0.18045088796284056</v>
      </c>
      <c r="G109" s="241">
        <f t="shared" si="22"/>
        <v>0.10218266057345454</v>
      </c>
      <c r="H109" s="242">
        <f t="shared" si="23"/>
        <v>0.8978173394265454</v>
      </c>
      <c r="I109" s="157"/>
    </row>
    <row r="110" spans="1:9" ht="15.75" x14ac:dyDescent="0.25">
      <c r="A110" s="164"/>
      <c r="B110" s="165">
        <f>DATE(18,9,1)</f>
        <v>6819</v>
      </c>
      <c r="C110" s="226">
        <v>111448034.52</v>
      </c>
      <c r="D110" s="226">
        <v>10737435.65</v>
      </c>
      <c r="E110" s="226">
        <v>9642813.3599999994</v>
      </c>
      <c r="F110" s="166">
        <f t="shared" si="21"/>
        <v>0.11351690104681245</v>
      </c>
      <c r="G110" s="241">
        <f t="shared" si="22"/>
        <v>9.6344773564159228E-2</v>
      </c>
      <c r="H110" s="242">
        <f t="shared" si="23"/>
        <v>0.90365522643584073</v>
      </c>
      <c r="I110" s="157"/>
    </row>
    <row r="111" spans="1:9" ht="15.75" x14ac:dyDescent="0.25">
      <c r="A111" s="164"/>
      <c r="B111" s="165">
        <f>DATE(18,10,1)</f>
        <v>6849</v>
      </c>
      <c r="C111" s="226">
        <v>108094900.66</v>
      </c>
      <c r="D111" s="226">
        <v>10634805.060000001</v>
      </c>
      <c r="E111" s="226">
        <v>9440836.5399999991</v>
      </c>
      <c r="F111" s="166">
        <f t="shared" si="21"/>
        <v>0.12646850890186068</v>
      </c>
      <c r="G111" s="241">
        <f t="shared" si="22"/>
        <v>9.8383966265444378E-2</v>
      </c>
      <c r="H111" s="242">
        <f t="shared" si="23"/>
        <v>0.90161603373455557</v>
      </c>
      <c r="I111" s="157"/>
    </row>
    <row r="112" spans="1:9" ht="15.75" x14ac:dyDescent="0.25">
      <c r="A112" s="164"/>
      <c r="B112" s="165">
        <f>DATE(18,11,1)</f>
        <v>6880</v>
      </c>
      <c r="C112" s="226">
        <v>109404617.43000001</v>
      </c>
      <c r="D112" s="226">
        <v>10364939.92</v>
      </c>
      <c r="E112" s="226">
        <v>9748688.0700000003</v>
      </c>
      <c r="F112" s="166">
        <f t="shared" si="21"/>
        <v>6.3213823806345215E-2</v>
      </c>
      <c r="G112" s="241">
        <f t="shared" si="22"/>
        <v>9.4739510666739135E-2</v>
      </c>
      <c r="H112" s="242">
        <f t="shared" si="23"/>
        <v>0.90526048933326086</v>
      </c>
      <c r="I112" s="157"/>
    </row>
    <row r="113" spans="1:9" ht="15.75" x14ac:dyDescent="0.25">
      <c r="A113" s="164"/>
      <c r="B113" s="165">
        <f>DATE(18,12,1)</f>
        <v>6910</v>
      </c>
      <c r="C113" s="226">
        <v>117265837.39</v>
      </c>
      <c r="D113" s="226">
        <v>11597435.08</v>
      </c>
      <c r="E113" s="226">
        <v>10597064.9</v>
      </c>
      <c r="F113" s="166">
        <f t="shared" si="21"/>
        <v>9.4400684476321328E-2</v>
      </c>
      <c r="G113" s="241">
        <f t="shared" si="22"/>
        <v>9.889866766080832E-2</v>
      </c>
      <c r="H113" s="242">
        <f t="shared" si="23"/>
        <v>0.90110133233919165</v>
      </c>
      <c r="I113" s="157"/>
    </row>
    <row r="114" spans="1:9" ht="15.75" x14ac:dyDescent="0.25">
      <c r="A114" s="164"/>
      <c r="B114" s="165">
        <f>DATE(19,1,1)</f>
        <v>6941</v>
      </c>
      <c r="C114" s="226">
        <v>99792067.159999996</v>
      </c>
      <c r="D114" s="226">
        <v>9957126.1899999995</v>
      </c>
      <c r="E114" s="226">
        <v>10120620.01</v>
      </c>
      <c r="F114" s="166">
        <f t="shared" si="21"/>
        <v>-1.615452609014616E-2</v>
      </c>
      <c r="G114" s="241">
        <f t="shared" si="22"/>
        <v>9.9778734656687712E-2</v>
      </c>
      <c r="H114" s="242">
        <f t="shared" si="23"/>
        <v>0.90022126534331226</v>
      </c>
      <c r="I114" s="157"/>
    </row>
    <row r="115" spans="1:9" ht="15.75" x14ac:dyDescent="0.25">
      <c r="A115" s="164"/>
      <c r="B115" s="165">
        <f>DATE(19,2,1)</f>
        <v>6972</v>
      </c>
      <c r="C115" s="226">
        <v>99240269.219999999</v>
      </c>
      <c r="D115" s="226">
        <v>10422099.199999999</v>
      </c>
      <c r="E115" s="226">
        <v>11560671.16</v>
      </c>
      <c r="F115" s="166">
        <f t="shared" si="21"/>
        <v>-9.8486666063080097E-2</v>
      </c>
      <c r="G115" s="241">
        <f t="shared" si="22"/>
        <v>0.10501885254760698</v>
      </c>
      <c r="H115" s="242">
        <f t="shared" si="23"/>
        <v>0.89498114745239299</v>
      </c>
      <c r="I115" s="157"/>
    </row>
    <row r="116" spans="1:9" ht="15.75" x14ac:dyDescent="0.25">
      <c r="A116" s="164"/>
      <c r="B116" s="165">
        <f>DATE(19,3,1)</f>
        <v>7000</v>
      </c>
      <c r="C116" s="226">
        <v>128530416.45</v>
      </c>
      <c r="D116" s="226">
        <v>13240355.48</v>
      </c>
      <c r="E116" s="226">
        <v>13834359.939999999</v>
      </c>
      <c r="F116" s="166">
        <f t="shared" si="21"/>
        <v>-4.2936894990170324E-2</v>
      </c>
      <c r="G116" s="241">
        <f t="shared" si="22"/>
        <v>0.10301340216345344</v>
      </c>
      <c r="H116" s="242">
        <f t="shared" si="23"/>
        <v>0.89698659783654655</v>
      </c>
      <c r="I116" s="157"/>
    </row>
    <row r="117" spans="1:9" ht="15.75" x14ac:dyDescent="0.25">
      <c r="A117" s="164"/>
      <c r="B117" s="165">
        <f>DATE(19,4,1)</f>
        <v>7031</v>
      </c>
      <c r="C117" s="226">
        <v>108428136.29000001</v>
      </c>
      <c r="D117" s="226">
        <v>10454491.310000001</v>
      </c>
      <c r="E117" s="226">
        <v>12018253.029999999</v>
      </c>
      <c r="F117" s="166">
        <f t="shared" si="21"/>
        <v>-0.1301155597320619</v>
      </c>
      <c r="G117" s="241">
        <f t="shared" si="22"/>
        <v>9.6418620366567953E-2</v>
      </c>
      <c r="H117" s="242">
        <f t="shared" si="23"/>
        <v>0.90358137963343199</v>
      </c>
      <c r="I117" s="157"/>
    </row>
    <row r="118" spans="1:9" ht="15.75" x14ac:dyDescent="0.25">
      <c r="A118" s="164"/>
      <c r="B118" s="165">
        <f>DATE(19,5,1)</f>
        <v>7061</v>
      </c>
      <c r="C118" s="226">
        <v>115086805.44</v>
      </c>
      <c r="D118" s="226">
        <v>11575440.460000001</v>
      </c>
      <c r="E118" s="226">
        <v>11899786.960000001</v>
      </c>
      <c r="F118" s="166">
        <f t="shared" si="21"/>
        <v>-2.7256496363360104E-2</v>
      </c>
      <c r="G118" s="241">
        <f t="shared" si="22"/>
        <v>0.10058008314458608</v>
      </c>
      <c r="H118" s="242">
        <f t="shared" si="23"/>
        <v>0.89941991685541389</v>
      </c>
      <c r="I118" s="157"/>
    </row>
    <row r="119" spans="1:9" ht="15.75" thickBot="1" x14ac:dyDescent="0.25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Top="1" thickBot="1" x14ac:dyDescent="0.3">
      <c r="A120" s="174" t="s">
        <v>14</v>
      </c>
      <c r="B120" s="175"/>
      <c r="C120" s="228">
        <f>SUM(C108:C119)</f>
        <v>1229799030.6300001</v>
      </c>
      <c r="D120" s="230">
        <f>SUM(D108:D119)</f>
        <v>122253284.71000001</v>
      </c>
      <c r="E120" s="271">
        <f>SUM(E108:E119)</f>
        <v>119062581.06</v>
      </c>
      <c r="F120" s="176">
        <f>(+D120-E120)/E120</f>
        <v>2.6798542594940834E-2</v>
      </c>
      <c r="G120" s="249">
        <f>D120/C120</f>
        <v>9.9409156833838316E-2</v>
      </c>
      <c r="H120" s="270">
        <f>1-G120</f>
        <v>0.90059084316616167</v>
      </c>
      <c r="I120" s="157"/>
    </row>
    <row r="121" spans="1:9" ht="15.75" thickTop="1" x14ac:dyDescent="0.2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 x14ac:dyDescent="0.25">
      <c r="A122" s="164" t="s">
        <v>18</v>
      </c>
      <c r="B122" s="165">
        <f>DATE(18,7,1)</f>
        <v>6757</v>
      </c>
      <c r="C122" s="226">
        <v>150620962.91</v>
      </c>
      <c r="D122" s="226">
        <v>14899456.869999999</v>
      </c>
      <c r="E122" s="226">
        <v>13990899.67</v>
      </c>
      <c r="F122" s="166">
        <f t="shared" ref="F122:F132" si="24">(+D122-E122)/E122</f>
        <v>6.493915483849648E-2</v>
      </c>
      <c r="G122" s="241">
        <f t="shared" ref="G122:G132" si="25">D122/C122</f>
        <v>9.8920207268246046E-2</v>
      </c>
      <c r="H122" s="242">
        <f t="shared" ref="H122:H132" si="26">1-G122</f>
        <v>0.90107979273175398</v>
      </c>
      <c r="I122" s="157"/>
    </row>
    <row r="123" spans="1:9" ht="15.75" x14ac:dyDescent="0.25">
      <c r="A123" s="164"/>
      <c r="B123" s="165">
        <f>DATE(18,8,1)</f>
        <v>6788</v>
      </c>
      <c r="C123" s="226">
        <v>151491190.93000001</v>
      </c>
      <c r="D123" s="226">
        <v>14829432.529999999</v>
      </c>
      <c r="E123" s="226">
        <v>13373041.550000001</v>
      </c>
      <c r="F123" s="166">
        <f t="shared" si="24"/>
        <v>0.10890499177429075</v>
      </c>
      <c r="G123" s="241">
        <f t="shared" si="25"/>
        <v>9.7889734967178912E-2</v>
      </c>
      <c r="H123" s="242">
        <f t="shared" si="26"/>
        <v>0.9021102650328211</v>
      </c>
      <c r="I123" s="157"/>
    </row>
    <row r="124" spans="1:9" ht="15.75" x14ac:dyDescent="0.25">
      <c r="A124" s="164"/>
      <c r="B124" s="165">
        <f>DATE(18,9,1)</f>
        <v>6819</v>
      </c>
      <c r="C124" s="226">
        <v>146030772.52000001</v>
      </c>
      <c r="D124" s="226">
        <v>13962276.199999999</v>
      </c>
      <c r="E124" s="226">
        <v>13392030.43</v>
      </c>
      <c r="F124" s="166">
        <f t="shared" si="24"/>
        <v>4.2580979260812474E-2</v>
      </c>
      <c r="G124" s="241">
        <f t="shared" si="25"/>
        <v>9.5611876586407574E-2</v>
      </c>
      <c r="H124" s="242">
        <f t="shared" si="26"/>
        <v>0.90438812341359243</v>
      </c>
      <c r="I124" s="157"/>
    </row>
    <row r="125" spans="1:9" ht="15.75" x14ac:dyDescent="0.25">
      <c r="A125" s="164"/>
      <c r="B125" s="165">
        <f>DATE(18,10,1)</f>
        <v>6849</v>
      </c>
      <c r="C125" s="226">
        <v>136339674.75</v>
      </c>
      <c r="D125" s="226">
        <v>13179828.550000001</v>
      </c>
      <c r="E125" s="226">
        <v>12769108.560000001</v>
      </c>
      <c r="F125" s="166">
        <f t="shared" si="24"/>
        <v>3.2165126333611516E-2</v>
      </c>
      <c r="G125" s="241">
        <f t="shared" si="25"/>
        <v>9.6669062576005604E-2</v>
      </c>
      <c r="H125" s="242">
        <f t="shared" si="26"/>
        <v>0.9033309374239944</v>
      </c>
      <c r="I125" s="157"/>
    </row>
    <row r="126" spans="1:9" ht="15.75" x14ac:dyDescent="0.25">
      <c r="A126" s="164"/>
      <c r="B126" s="165">
        <f>DATE(18,11,1)</f>
        <v>6880</v>
      </c>
      <c r="C126" s="226">
        <v>130209291.22</v>
      </c>
      <c r="D126" s="226">
        <v>12404366.57</v>
      </c>
      <c r="E126" s="226">
        <v>12739975.57</v>
      </c>
      <c r="F126" s="166">
        <f t="shared" si="24"/>
        <v>-2.6342986150639847E-2</v>
      </c>
      <c r="G126" s="241">
        <f t="shared" si="25"/>
        <v>9.5264834435215051E-2</v>
      </c>
      <c r="H126" s="242">
        <f t="shared" si="26"/>
        <v>0.90473516556478495</v>
      </c>
      <c r="I126" s="157"/>
    </row>
    <row r="127" spans="1:9" ht="15.75" x14ac:dyDescent="0.25">
      <c r="A127" s="164"/>
      <c r="B127" s="165">
        <f>DATE(18,12,1)</f>
        <v>6910</v>
      </c>
      <c r="C127" s="226">
        <v>148668507.31</v>
      </c>
      <c r="D127" s="226">
        <v>14279714.560000001</v>
      </c>
      <c r="E127" s="226">
        <v>13705331.41</v>
      </c>
      <c r="F127" s="166">
        <f t="shared" si="24"/>
        <v>4.1909468134488571E-2</v>
      </c>
      <c r="G127" s="241">
        <f t="shared" si="25"/>
        <v>9.6050702454584302E-2</v>
      </c>
      <c r="H127" s="242">
        <f t="shared" si="26"/>
        <v>0.90394929754541575</v>
      </c>
      <c r="I127" s="157"/>
    </row>
    <row r="128" spans="1:9" ht="15.75" x14ac:dyDescent="0.25">
      <c r="A128" s="164"/>
      <c r="B128" s="165">
        <f>DATE(19,1,1)</f>
        <v>6941</v>
      </c>
      <c r="C128" s="226">
        <v>125103165.66</v>
      </c>
      <c r="D128" s="226">
        <v>12070419.859999999</v>
      </c>
      <c r="E128" s="226">
        <v>12314929.470000001</v>
      </c>
      <c r="F128" s="166">
        <f t="shared" si="24"/>
        <v>-1.9854730844837007E-2</v>
      </c>
      <c r="G128" s="241">
        <f t="shared" si="25"/>
        <v>9.6483728419826456E-2</v>
      </c>
      <c r="H128" s="242">
        <f t="shared" si="26"/>
        <v>0.90351627158017356</v>
      </c>
      <c r="I128" s="157"/>
    </row>
    <row r="129" spans="1:9" ht="15.75" x14ac:dyDescent="0.25">
      <c r="A129" s="164"/>
      <c r="B129" s="165">
        <f>DATE(19,2,1)</f>
        <v>6972</v>
      </c>
      <c r="C129" s="226">
        <v>129874405.7</v>
      </c>
      <c r="D129" s="226">
        <v>12585263.32</v>
      </c>
      <c r="E129" s="226">
        <v>12905800.560000001</v>
      </c>
      <c r="F129" s="166">
        <f t="shared" si="24"/>
        <v>-2.4836680104407271E-2</v>
      </c>
      <c r="G129" s="241">
        <f t="shared" si="25"/>
        <v>9.6903337129187722E-2</v>
      </c>
      <c r="H129" s="242">
        <f t="shared" si="26"/>
        <v>0.90309666287081225</v>
      </c>
      <c r="I129" s="157"/>
    </row>
    <row r="130" spans="1:9" ht="15.75" x14ac:dyDescent="0.25">
      <c r="A130" s="164"/>
      <c r="B130" s="165">
        <f>DATE(19,3,1)</f>
        <v>7000</v>
      </c>
      <c r="C130" s="226">
        <v>165812175.84999999</v>
      </c>
      <c r="D130" s="226">
        <v>15794237.699999999</v>
      </c>
      <c r="E130" s="226">
        <v>15707751.75</v>
      </c>
      <c r="F130" s="166">
        <f t="shared" si="24"/>
        <v>5.5059407212747205E-3</v>
      </c>
      <c r="G130" s="241">
        <f t="shared" si="25"/>
        <v>9.5253787118070671E-2</v>
      </c>
      <c r="H130" s="242">
        <f t="shared" si="26"/>
        <v>0.90474621288192936</v>
      </c>
      <c r="I130" s="157"/>
    </row>
    <row r="131" spans="1:9" ht="15.75" x14ac:dyDescent="0.25">
      <c r="A131" s="164"/>
      <c r="B131" s="165">
        <f>DATE(19,4,1)</f>
        <v>7031</v>
      </c>
      <c r="C131" s="226">
        <v>141805326.27000001</v>
      </c>
      <c r="D131" s="226">
        <v>13446875.85</v>
      </c>
      <c r="E131" s="226">
        <v>13931794.98</v>
      </c>
      <c r="F131" s="166">
        <f t="shared" si="24"/>
        <v>-3.4806651310626796E-2</v>
      </c>
      <c r="G131" s="241">
        <f t="shared" si="25"/>
        <v>9.4826310151403581E-2</v>
      </c>
      <c r="H131" s="242">
        <f t="shared" si="26"/>
        <v>0.90517368984859647</v>
      </c>
      <c r="I131" s="157"/>
    </row>
    <row r="132" spans="1:9" ht="15.75" x14ac:dyDescent="0.25">
      <c r="A132" s="164"/>
      <c r="B132" s="165">
        <f>DATE(19,5,1)</f>
        <v>7061</v>
      </c>
      <c r="C132" s="226">
        <v>147111189.28999999</v>
      </c>
      <c r="D132" s="226">
        <v>14014029.960000001</v>
      </c>
      <c r="E132" s="226">
        <v>14043474.58</v>
      </c>
      <c r="F132" s="166">
        <f t="shared" si="24"/>
        <v>-2.0966762771040086E-3</v>
      </c>
      <c r="G132" s="241">
        <f t="shared" si="25"/>
        <v>9.5261482336154404E-2</v>
      </c>
      <c r="H132" s="242">
        <f t="shared" si="26"/>
        <v>0.90473851766384561</v>
      </c>
      <c r="I132" s="157"/>
    </row>
    <row r="133" spans="1:9" ht="15.75" customHeight="1" thickBot="1" x14ac:dyDescent="0.3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Top="1" thickBot="1" x14ac:dyDescent="0.3">
      <c r="A134" s="174" t="s">
        <v>14</v>
      </c>
      <c r="B134" s="181"/>
      <c r="C134" s="228">
        <f>SUM(C122:C133)</f>
        <v>1573066662.4099998</v>
      </c>
      <c r="D134" s="228">
        <f>SUM(D122:D133)</f>
        <v>151465901.97000003</v>
      </c>
      <c r="E134" s="228">
        <f>SUM(E122:E133)</f>
        <v>148874138.53</v>
      </c>
      <c r="F134" s="176">
        <f>(+D134-E134)/E134</f>
        <v>1.7409091099309736E-2</v>
      </c>
      <c r="G134" s="245">
        <f>D134/C134</f>
        <v>9.6287020499149306E-2</v>
      </c>
      <c r="H134" s="246">
        <f>1-G134</f>
        <v>0.90371297950085072</v>
      </c>
      <c r="I134" s="157"/>
    </row>
    <row r="135" spans="1:9" ht="15.75" thickTop="1" x14ac:dyDescent="0.2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 x14ac:dyDescent="0.25">
      <c r="A136" s="164" t="s">
        <v>58</v>
      </c>
      <c r="B136" s="165">
        <f>DATE(18,7,1)</f>
        <v>6757</v>
      </c>
      <c r="C136" s="226">
        <v>178050719.09</v>
      </c>
      <c r="D136" s="226">
        <v>16699225.800000001</v>
      </c>
      <c r="E136" s="226">
        <v>17449857.02</v>
      </c>
      <c r="F136" s="166">
        <f t="shared" ref="F136:F146" si="27">(+D136-E136)/E136</f>
        <v>-4.30164682231877E-2</v>
      </c>
      <c r="G136" s="241">
        <f t="shared" ref="G136:G146" si="28">D136/C136</f>
        <v>9.3789151121366585E-2</v>
      </c>
      <c r="H136" s="242">
        <f t="shared" ref="H136:H146" si="29">1-G136</f>
        <v>0.90621084887863346</v>
      </c>
      <c r="I136" s="157"/>
    </row>
    <row r="137" spans="1:9" ht="15.75" x14ac:dyDescent="0.25">
      <c r="A137" s="164"/>
      <c r="B137" s="165">
        <f>DATE(18,8,1)</f>
        <v>6788</v>
      </c>
      <c r="C137" s="226">
        <v>177417877.38</v>
      </c>
      <c r="D137" s="226">
        <v>16622760.619999999</v>
      </c>
      <c r="E137" s="226">
        <v>16610228.17</v>
      </c>
      <c r="F137" s="166">
        <f t="shared" si="27"/>
        <v>7.5450197744028071E-4</v>
      </c>
      <c r="G137" s="241">
        <f t="shared" si="28"/>
        <v>9.3692703720024625E-2</v>
      </c>
      <c r="H137" s="242">
        <f t="shared" si="29"/>
        <v>0.90630729627997542</v>
      </c>
      <c r="I137" s="157"/>
    </row>
    <row r="138" spans="1:9" ht="15.75" x14ac:dyDescent="0.25">
      <c r="A138" s="164"/>
      <c r="B138" s="165">
        <f>DATE(18,9,1)</f>
        <v>6819</v>
      </c>
      <c r="C138" s="226">
        <v>176309993.38</v>
      </c>
      <c r="D138" s="226">
        <v>16260476.050000001</v>
      </c>
      <c r="E138" s="226">
        <v>16301470.130000001</v>
      </c>
      <c r="F138" s="166">
        <f t="shared" si="27"/>
        <v>-2.514747422967555E-3</v>
      </c>
      <c r="G138" s="241">
        <f t="shared" si="28"/>
        <v>9.2226627307244471E-2</v>
      </c>
      <c r="H138" s="242">
        <f t="shared" si="29"/>
        <v>0.90777337269275549</v>
      </c>
      <c r="I138" s="157"/>
    </row>
    <row r="139" spans="1:9" ht="15.75" x14ac:dyDescent="0.25">
      <c r="A139" s="164"/>
      <c r="B139" s="165">
        <f>DATE(18,10,1)</f>
        <v>6849</v>
      </c>
      <c r="C139" s="226">
        <v>165733376.61000001</v>
      </c>
      <c r="D139" s="226">
        <v>15649969.25</v>
      </c>
      <c r="E139" s="226">
        <v>15646297.039999999</v>
      </c>
      <c r="F139" s="166">
        <f t="shared" si="27"/>
        <v>2.3470153932351104E-4</v>
      </c>
      <c r="G139" s="241">
        <f t="shared" si="28"/>
        <v>9.4428591090780403E-2</v>
      </c>
      <c r="H139" s="242">
        <f t="shared" si="29"/>
        <v>0.90557140890921961</v>
      </c>
      <c r="I139" s="157"/>
    </row>
    <row r="140" spans="1:9" ht="15.75" x14ac:dyDescent="0.25">
      <c r="A140" s="164"/>
      <c r="B140" s="165">
        <f>DATE(18,11,1)</f>
        <v>6880</v>
      </c>
      <c r="C140" s="226">
        <v>164845336.97999999</v>
      </c>
      <c r="D140" s="226">
        <v>15252914.51</v>
      </c>
      <c r="E140" s="226">
        <v>15321390.57</v>
      </c>
      <c r="F140" s="166">
        <f t="shared" si="27"/>
        <v>-4.4693110385215194E-3</v>
      </c>
      <c r="G140" s="241">
        <f t="shared" si="28"/>
        <v>9.252863799144391E-2</v>
      </c>
      <c r="H140" s="242">
        <f t="shared" si="29"/>
        <v>0.90747136200855605</v>
      </c>
      <c r="I140" s="157"/>
    </row>
    <row r="141" spans="1:9" ht="15.75" x14ac:dyDescent="0.25">
      <c r="A141" s="164"/>
      <c r="B141" s="165">
        <f>DATE(18,12,1)</f>
        <v>6910</v>
      </c>
      <c r="C141" s="226">
        <v>182628317.28</v>
      </c>
      <c r="D141" s="226">
        <v>17347128.27</v>
      </c>
      <c r="E141" s="226">
        <v>17108418.350000001</v>
      </c>
      <c r="F141" s="166">
        <f t="shared" si="27"/>
        <v>1.3952775476758087E-2</v>
      </c>
      <c r="G141" s="241">
        <f t="shared" si="28"/>
        <v>9.4985972210453684E-2</v>
      </c>
      <c r="H141" s="242">
        <f t="shared" si="29"/>
        <v>0.90501402778954632</v>
      </c>
      <c r="I141" s="157"/>
    </row>
    <row r="142" spans="1:9" ht="15.75" x14ac:dyDescent="0.25">
      <c r="A142" s="164"/>
      <c r="B142" s="165">
        <f>DATE(19,1,1)</f>
        <v>6941</v>
      </c>
      <c r="C142" s="226">
        <v>146589870.56999999</v>
      </c>
      <c r="D142" s="226">
        <v>13808864.720000001</v>
      </c>
      <c r="E142" s="226">
        <v>14386363.66</v>
      </c>
      <c r="F142" s="166">
        <f t="shared" si="27"/>
        <v>-4.0142106347949742E-2</v>
      </c>
      <c r="G142" s="241">
        <f t="shared" si="28"/>
        <v>9.420067475539487E-2</v>
      </c>
      <c r="H142" s="242">
        <f t="shared" si="29"/>
        <v>0.90579932524460516</v>
      </c>
      <c r="I142" s="157"/>
    </row>
    <row r="143" spans="1:9" ht="15.75" x14ac:dyDescent="0.25">
      <c r="A143" s="164"/>
      <c r="B143" s="165">
        <f>DATE(19,2,1)</f>
        <v>6972</v>
      </c>
      <c r="C143" s="226">
        <v>157370469.43000001</v>
      </c>
      <c r="D143" s="226">
        <v>14872520.16</v>
      </c>
      <c r="E143" s="226">
        <v>15815880.539999999</v>
      </c>
      <c r="F143" s="166">
        <f t="shared" si="27"/>
        <v>-5.9646402716190407E-2</v>
      </c>
      <c r="G143" s="241">
        <f t="shared" si="28"/>
        <v>9.4506423052995017E-2</v>
      </c>
      <c r="H143" s="242">
        <f t="shared" si="29"/>
        <v>0.90549357694700494</v>
      </c>
      <c r="I143" s="157"/>
    </row>
    <row r="144" spans="1:9" ht="15.75" x14ac:dyDescent="0.25">
      <c r="A144" s="164"/>
      <c r="B144" s="165">
        <f>DATE(19,3,1)</f>
        <v>7000</v>
      </c>
      <c r="C144" s="226">
        <v>192721538.63999999</v>
      </c>
      <c r="D144" s="226">
        <v>18016167.010000002</v>
      </c>
      <c r="E144" s="226">
        <v>19279509.879999999</v>
      </c>
      <c r="F144" s="166">
        <f t="shared" si="27"/>
        <v>-6.5527748260372137E-2</v>
      </c>
      <c r="G144" s="241">
        <f t="shared" si="28"/>
        <v>9.3482893179126406E-2</v>
      </c>
      <c r="H144" s="242">
        <f t="shared" si="29"/>
        <v>0.90651710682087361</v>
      </c>
      <c r="I144" s="157"/>
    </row>
    <row r="145" spans="1:9" ht="15.75" x14ac:dyDescent="0.25">
      <c r="A145" s="164"/>
      <c r="B145" s="165">
        <f>DATE(19,4,1)</f>
        <v>7031</v>
      </c>
      <c r="C145" s="226">
        <v>162139808.25</v>
      </c>
      <c r="D145" s="226">
        <v>15376348.85</v>
      </c>
      <c r="E145" s="226">
        <v>16670834.66</v>
      </c>
      <c r="F145" s="166">
        <f t="shared" si="27"/>
        <v>-7.7649729986584884E-2</v>
      </c>
      <c r="G145" s="241">
        <f t="shared" si="28"/>
        <v>9.4833890677183522E-2</v>
      </c>
      <c r="H145" s="242">
        <f t="shared" si="29"/>
        <v>0.90516610932281649</v>
      </c>
      <c r="I145" s="157"/>
    </row>
    <row r="146" spans="1:9" ht="15.75" x14ac:dyDescent="0.25">
      <c r="A146" s="164"/>
      <c r="B146" s="165">
        <f>DATE(19,5,1)</f>
        <v>7061</v>
      </c>
      <c r="C146" s="226">
        <v>168924738.88999999</v>
      </c>
      <c r="D146" s="226">
        <v>15682535.5</v>
      </c>
      <c r="E146" s="226">
        <v>15937528.720000001</v>
      </c>
      <c r="F146" s="166">
        <f t="shared" si="27"/>
        <v>-1.599954575642645E-2</v>
      </c>
      <c r="G146" s="241">
        <f t="shared" si="28"/>
        <v>9.2837411518582352E-2</v>
      </c>
      <c r="H146" s="242">
        <f t="shared" si="29"/>
        <v>0.90716258848141762</v>
      </c>
      <c r="I146" s="157"/>
    </row>
    <row r="147" spans="1:9" ht="15.75" thickBot="1" x14ac:dyDescent="0.25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Top="1" thickBot="1" x14ac:dyDescent="0.3">
      <c r="A148" s="174" t="s">
        <v>14</v>
      </c>
      <c r="B148" s="175"/>
      <c r="C148" s="228">
        <f>SUM(C136:C147)</f>
        <v>1872732046.5</v>
      </c>
      <c r="D148" s="228">
        <f>SUM(D136:D147)</f>
        <v>175588910.73999998</v>
      </c>
      <c r="E148" s="228">
        <f>SUM(E136:E147)</f>
        <v>180527778.73999998</v>
      </c>
      <c r="F148" s="176">
        <f>(+D148-E148)/E148</f>
        <v>-2.7357939229469302E-2</v>
      </c>
      <c r="G148" s="249">
        <f>D148/C148</f>
        <v>9.376082983583417E-2</v>
      </c>
      <c r="H148" s="270">
        <f>1-G148</f>
        <v>0.90623917016416589</v>
      </c>
      <c r="I148" s="157"/>
    </row>
    <row r="149" spans="1:9" ht="15.75" thickTop="1" x14ac:dyDescent="0.2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 x14ac:dyDescent="0.25">
      <c r="A150" s="164" t="s">
        <v>59</v>
      </c>
      <c r="B150" s="165">
        <f>DATE(18,7,1)</f>
        <v>6757</v>
      </c>
      <c r="C150" s="226">
        <v>24024603.440000001</v>
      </c>
      <c r="D150" s="226">
        <v>2665233.29</v>
      </c>
      <c r="E150" s="226">
        <v>2744349.13</v>
      </c>
      <c r="F150" s="166">
        <f t="shared" ref="F150:F160" si="30">(+D150-E150)/E150</f>
        <v>-2.8828635225431342E-2</v>
      </c>
      <c r="G150" s="241">
        <f t="shared" ref="G150:G160" si="31">D150/C150</f>
        <v>0.11093766008068602</v>
      </c>
      <c r="H150" s="242">
        <f t="shared" ref="H150:H160" si="32">1-G150</f>
        <v>0.88906233991931394</v>
      </c>
      <c r="I150" s="157"/>
    </row>
    <row r="151" spans="1:9" ht="15.75" x14ac:dyDescent="0.25">
      <c r="A151" s="164"/>
      <c r="B151" s="165">
        <f>DATE(18,8,1)</f>
        <v>6788</v>
      </c>
      <c r="C151" s="226">
        <v>22943875.77</v>
      </c>
      <c r="D151" s="226">
        <v>2551392.61</v>
      </c>
      <c r="E151" s="226">
        <v>2540959.2599999998</v>
      </c>
      <c r="F151" s="166">
        <f t="shared" si="30"/>
        <v>4.1060674069997071E-3</v>
      </c>
      <c r="G151" s="241">
        <f t="shared" si="31"/>
        <v>0.11120146550549423</v>
      </c>
      <c r="H151" s="242">
        <f t="shared" si="32"/>
        <v>0.88879853449450574</v>
      </c>
      <c r="I151" s="157"/>
    </row>
    <row r="152" spans="1:9" ht="15.75" x14ac:dyDescent="0.25">
      <c r="A152" s="164"/>
      <c r="B152" s="165">
        <f>DATE(18,9,1)</f>
        <v>6819</v>
      </c>
      <c r="C152" s="226">
        <v>21572518.82</v>
      </c>
      <c r="D152" s="226">
        <v>2483855.77</v>
      </c>
      <c r="E152" s="226">
        <v>2634253.17</v>
      </c>
      <c r="F152" s="166">
        <f t="shared" si="30"/>
        <v>-5.7092993837034998E-2</v>
      </c>
      <c r="G152" s="241">
        <f t="shared" si="31"/>
        <v>0.11513981240323239</v>
      </c>
      <c r="H152" s="242">
        <f t="shared" si="32"/>
        <v>0.88486018759676766</v>
      </c>
      <c r="I152" s="157"/>
    </row>
    <row r="153" spans="1:9" ht="15.75" x14ac:dyDescent="0.25">
      <c r="A153" s="164"/>
      <c r="B153" s="165">
        <f>DATE(18,10,1)</f>
        <v>6849</v>
      </c>
      <c r="C153" s="226">
        <v>20179012.579999998</v>
      </c>
      <c r="D153" s="226">
        <v>2351894.38</v>
      </c>
      <c r="E153" s="226">
        <v>2351008.96</v>
      </c>
      <c r="F153" s="166">
        <f t="shared" si="30"/>
        <v>3.7661277139493569E-4</v>
      </c>
      <c r="G153" s="241">
        <f t="shared" si="31"/>
        <v>0.11655150967748691</v>
      </c>
      <c r="H153" s="242">
        <f t="shared" si="32"/>
        <v>0.88344849032251305</v>
      </c>
      <c r="I153" s="157"/>
    </row>
    <row r="154" spans="1:9" ht="15.75" x14ac:dyDescent="0.25">
      <c r="A154" s="164"/>
      <c r="B154" s="165">
        <f>DATE(18,11,1)</f>
        <v>6880</v>
      </c>
      <c r="C154" s="226">
        <v>19644269.84</v>
      </c>
      <c r="D154" s="226">
        <v>2270138.19</v>
      </c>
      <c r="E154" s="226">
        <v>2370134.9900000002</v>
      </c>
      <c r="F154" s="166">
        <f t="shared" si="30"/>
        <v>-4.2190339546862798E-2</v>
      </c>
      <c r="G154" s="241">
        <f t="shared" si="31"/>
        <v>0.11556236034680736</v>
      </c>
      <c r="H154" s="242">
        <f t="shared" si="32"/>
        <v>0.88443763965319266</v>
      </c>
      <c r="I154" s="157"/>
    </row>
    <row r="155" spans="1:9" ht="15.75" x14ac:dyDescent="0.25">
      <c r="A155" s="164"/>
      <c r="B155" s="165">
        <f>DATE(18,12,1)</f>
        <v>6910</v>
      </c>
      <c r="C155" s="226">
        <v>22250868.329999998</v>
      </c>
      <c r="D155" s="226">
        <v>2456280.23</v>
      </c>
      <c r="E155" s="226">
        <v>2474390.4300000002</v>
      </c>
      <c r="F155" s="166">
        <f t="shared" si="30"/>
        <v>-7.3190551419972088E-3</v>
      </c>
      <c r="G155" s="241">
        <f t="shared" si="31"/>
        <v>0.11039030897901143</v>
      </c>
      <c r="H155" s="242">
        <f t="shared" si="32"/>
        <v>0.88960969102098852</v>
      </c>
      <c r="I155" s="157"/>
    </row>
    <row r="156" spans="1:9" ht="15.75" x14ac:dyDescent="0.25">
      <c r="A156" s="164"/>
      <c r="B156" s="165">
        <f>DATE(19,1,1)</f>
        <v>6941</v>
      </c>
      <c r="C156" s="226">
        <v>16631867.08</v>
      </c>
      <c r="D156" s="226">
        <v>1907536.47</v>
      </c>
      <c r="E156" s="226">
        <v>2393011.98</v>
      </c>
      <c r="F156" s="166">
        <f t="shared" si="30"/>
        <v>-0.20287216029733374</v>
      </c>
      <c r="G156" s="241">
        <f t="shared" si="31"/>
        <v>0.11469166154495265</v>
      </c>
      <c r="H156" s="242">
        <f t="shared" si="32"/>
        <v>0.88530833845504731</v>
      </c>
      <c r="I156" s="157"/>
    </row>
    <row r="157" spans="1:9" ht="15.75" x14ac:dyDescent="0.25">
      <c r="A157" s="164"/>
      <c r="B157" s="165">
        <f>DATE(19,2,1)</f>
        <v>6972</v>
      </c>
      <c r="C157" s="226">
        <v>19618686.469999999</v>
      </c>
      <c r="D157" s="226">
        <v>2252695.42</v>
      </c>
      <c r="E157" s="226">
        <v>2447889.15</v>
      </c>
      <c r="F157" s="166">
        <f t="shared" si="30"/>
        <v>-7.9739611575140146E-2</v>
      </c>
      <c r="G157" s="241">
        <f t="shared" si="31"/>
        <v>0.11482396762111058</v>
      </c>
      <c r="H157" s="242">
        <f t="shared" si="32"/>
        <v>0.88517603237888942</v>
      </c>
      <c r="I157" s="157"/>
    </row>
    <row r="158" spans="1:9" ht="15.75" x14ac:dyDescent="0.25">
      <c r="A158" s="164"/>
      <c r="B158" s="165">
        <f>DATE(19,3,1)</f>
        <v>7000</v>
      </c>
      <c r="C158" s="226">
        <v>25238075.460000001</v>
      </c>
      <c r="D158" s="226">
        <v>2891984.6</v>
      </c>
      <c r="E158" s="226">
        <v>3412980.94</v>
      </c>
      <c r="F158" s="166">
        <f t="shared" si="30"/>
        <v>-0.15265140625133403</v>
      </c>
      <c r="G158" s="241">
        <f t="shared" si="31"/>
        <v>0.11458815885480358</v>
      </c>
      <c r="H158" s="242">
        <f t="shared" si="32"/>
        <v>0.88541184114519644</v>
      </c>
      <c r="I158" s="157"/>
    </row>
    <row r="159" spans="1:9" ht="15.75" x14ac:dyDescent="0.25">
      <c r="A159" s="164"/>
      <c r="B159" s="165">
        <f>DATE(19,4,1)</f>
        <v>7031</v>
      </c>
      <c r="C159" s="226">
        <v>22061858.780000001</v>
      </c>
      <c r="D159" s="226">
        <v>2403144.29</v>
      </c>
      <c r="E159" s="226">
        <v>2736386.51</v>
      </c>
      <c r="F159" s="166">
        <f t="shared" si="30"/>
        <v>-0.1217818531052471</v>
      </c>
      <c r="G159" s="241">
        <f t="shared" si="31"/>
        <v>0.10892755293033382</v>
      </c>
      <c r="H159" s="242">
        <f t="shared" si="32"/>
        <v>0.89107244706966615</v>
      </c>
      <c r="I159" s="157"/>
    </row>
    <row r="160" spans="1:9" ht="15.75" x14ac:dyDescent="0.25">
      <c r="A160" s="164"/>
      <c r="B160" s="165">
        <f>DATE(19,5,1)</f>
        <v>7061</v>
      </c>
      <c r="C160" s="226">
        <v>20919578.09</v>
      </c>
      <c r="D160" s="226">
        <v>2355264.66</v>
      </c>
      <c r="E160" s="226">
        <v>2770489.93</v>
      </c>
      <c r="F160" s="166">
        <f t="shared" si="30"/>
        <v>-0.14987431121974878</v>
      </c>
      <c r="G160" s="241">
        <f t="shared" si="31"/>
        <v>0.11258662339494631</v>
      </c>
      <c r="H160" s="242">
        <f t="shared" si="32"/>
        <v>0.88741337660505371</v>
      </c>
      <c r="I160" s="157"/>
    </row>
    <row r="161" spans="1:9" ht="15.75" thickBot="1" x14ac:dyDescent="0.25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Top="1" thickBot="1" x14ac:dyDescent="0.3">
      <c r="A162" s="182" t="s">
        <v>14</v>
      </c>
      <c r="B162" s="183"/>
      <c r="C162" s="230">
        <f>SUM(C150:C161)</f>
        <v>235085214.66000003</v>
      </c>
      <c r="D162" s="230">
        <f>SUM(D150:D161)</f>
        <v>26589419.91</v>
      </c>
      <c r="E162" s="230">
        <f>SUM(E150:E161)</f>
        <v>28875854.449999996</v>
      </c>
      <c r="F162" s="176">
        <f>(+D162-E162)/E162</f>
        <v>-7.9181537085216733E-2</v>
      </c>
      <c r="G162" s="249">
        <f>D162/C162</f>
        <v>0.11310545390298514</v>
      </c>
      <c r="H162" s="246">
        <f>1-G162</f>
        <v>0.8868945460970149</v>
      </c>
      <c r="I162" s="157"/>
    </row>
    <row r="163" spans="1:9" ht="15.75" thickTop="1" x14ac:dyDescent="0.2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 x14ac:dyDescent="0.25">
      <c r="A164" s="164" t="s">
        <v>40</v>
      </c>
      <c r="B164" s="165">
        <f>DATE(18,7,1)</f>
        <v>6757</v>
      </c>
      <c r="C164" s="226">
        <v>216736742.84</v>
      </c>
      <c r="D164" s="226">
        <v>19406302.420000002</v>
      </c>
      <c r="E164" s="226">
        <v>20250233.59</v>
      </c>
      <c r="F164" s="166">
        <f t="shared" ref="F164:F174" si="33">(+D164-E164)/E164</f>
        <v>-4.1675132597816029E-2</v>
      </c>
      <c r="G164" s="241">
        <f t="shared" ref="G164:G174" si="34">D164/C164</f>
        <v>8.9538590299505311E-2</v>
      </c>
      <c r="H164" s="242">
        <f t="shared" ref="H164:H174" si="35">1-G164</f>
        <v>0.91046140970049472</v>
      </c>
      <c r="I164" s="157"/>
    </row>
    <row r="165" spans="1:9" ht="15.75" x14ac:dyDescent="0.25">
      <c r="A165" s="164"/>
      <c r="B165" s="165">
        <f>DATE(18,8,1)</f>
        <v>6788</v>
      </c>
      <c r="C165" s="226">
        <v>217223700.97999999</v>
      </c>
      <c r="D165" s="226">
        <v>19632454.710000001</v>
      </c>
      <c r="E165" s="226">
        <v>18649872.98</v>
      </c>
      <c r="F165" s="166">
        <f t="shared" si="33"/>
        <v>5.2685706280880013E-2</v>
      </c>
      <c r="G165" s="241">
        <f t="shared" si="34"/>
        <v>9.0378971638125166E-2</v>
      </c>
      <c r="H165" s="242">
        <f t="shared" si="35"/>
        <v>0.90962102836187486</v>
      </c>
      <c r="I165" s="157"/>
    </row>
    <row r="166" spans="1:9" ht="15.75" x14ac:dyDescent="0.25">
      <c r="A166" s="164"/>
      <c r="B166" s="165">
        <f>DATE(18,9,1)</f>
        <v>6819</v>
      </c>
      <c r="C166" s="226">
        <v>205256989.50999999</v>
      </c>
      <c r="D166" s="226">
        <v>18357005.34</v>
      </c>
      <c r="E166" s="226">
        <v>18449653.52</v>
      </c>
      <c r="F166" s="166">
        <f t="shared" si="33"/>
        <v>-5.0216758758946985E-3</v>
      </c>
      <c r="G166" s="241">
        <f t="shared" si="34"/>
        <v>8.9434252075034248E-2</v>
      </c>
      <c r="H166" s="242">
        <f t="shared" si="35"/>
        <v>0.91056574792496581</v>
      </c>
      <c r="I166" s="157"/>
    </row>
    <row r="167" spans="1:9" ht="15.75" x14ac:dyDescent="0.25">
      <c r="A167" s="164"/>
      <c r="B167" s="165">
        <f>DATE(18,10,1)</f>
        <v>6849</v>
      </c>
      <c r="C167" s="226">
        <v>197988846.69999999</v>
      </c>
      <c r="D167" s="226">
        <v>17743741.07</v>
      </c>
      <c r="E167" s="226">
        <v>17943427.350000001</v>
      </c>
      <c r="F167" s="166">
        <f t="shared" si="33"/>
        <v>-1.1128658762062042E-2</v>
      </c>
      <c r="G167" s="241">
        <f t="shared" si="34"/>
        <v>8.9619902159872533E-2</v>
      </c>
      <c r="H167" s="242">
        <f t="shared" si="35"/>
        <v>0.91038009784012752</v>
      </c>
      <c r="I167" s="157"/>
    </row>
    <row r="168" spans="1:9" ht="15.75" x14ac:dyDescent="0.25">
      <c r="A168" s="164"/>
      <c r="B168" s="165">
        <f>DATE(18,11,1)</f>
        <v>6880</v>
      </c>
      <c r="C168" s="226">
        <v>200122811.33000001</v>
      </c>
      <c r="D168" s="226">
        <v>17751037.91</v>
      </c>
      <c r="E168" s="226">
        <v>17723437.109999999</v>
      </c>
      <c r="F168" s="166">
        <f t="shared" si="33"/>
        <v>1.5573051563699061E-3</v>
      </c>
      <c r="G168" s="241">
        <f t="shared" si="34"/>
        <v>8.8700722281623165E-2</v>
      </c>
      <c r="H168" s="242">
        <f t="shared" si="35"/>
        <v>0.91129927771837682</v>
      </c>
      <c r="I168" s="157"/>
    </row>
    <row r="169" spans="1:9" ht="15.75" x14ac:dyDescent="0.25">
      <c r="A169" s="164"/>
      <c r="B169" s="165">
        <f>DATE(18,12,1)</f>
        <v>6910</v>
      </c>
      <c r="C169" s="226">
        <v>215473575.27000001</v>
      </c>
      <c r="D169" s="226">
        <v>19880708.100000001</v>
      </c>
      <c r="E169" s="226">
        <v>18728361.25</v>
      </c>
      <c r="F169" s="166">
        <f t="shared" si="33"/>
        <v>6.1529507820658975E-2</v>
      </c>
      <c r="G169" s="241">
        <f t="shared" si="34"/>
        <v>9.2265179500959235E-2</v>
      </c>
      <c r="H169" s="242">
        <f t="shared" si="35"/>
        <v>0.90773482049904075</v>
      </c>
      <c r="I169" s="157"/>
    </row>
    <row r="170" spans="1:9" ht="15.75" x14ac:dyDescent="0.25">
      <c r="A170" s="164"/>
      <c r="B170" s="165">
        <f>DATE(19,1,1)</f>
        <v>6941</v>
      </c>
      <c r="C170" s="226">
        <v>178812274.34999999</v>
      </c>
      <c r="D170" s="226">
        <v>15585305.41</v>
      </c>
      <c r="E170" s="226">
        <v>16953191</v>
      </c>
      <c r="F170" s="166">
        <f t="shared" si="33"/>
        <v>-8.0686024831549408E-2</v>
      </c>
      <c r="G170" s="241">
        <f t="shared" si="34"/>
        <v>8.7160154226851042E-2</v>
      </c>
      <c r="H170" s="242">
        <f t="shared" si="35"/>
        <v>0.91283984577314892</v>
      </c>
      <c r="I170" s="157"/>
    </row>
    <row r="171" spans="1:9" ht="15.75" x14ac:dyDescent="0.25">
      <c r="A171" s="164"/>
      <c r="B171" s="165">
        <f>DATE(19,2,1)</f>
        <v>6972</v>
      </c>
      <c r="C171" s="226">
        <v>189779653.38</v>
      </c>
      <c r="D171" s="226">
        <v>17148799.079999998</v>
      </c>
      <c r="E171" s="226">
        <v>18138655.68</v>
      </c>
      <c r="F171" s="166">
        <f t="shared" si="33"/>
        <v>-5.4571662722030428E-2</v>
      </c>
      <c r="G171" s="241">
        <f t="shared" si="34"/>
        <v>9.0361631368683026E-2</v>
      </c>
      <c r="H171" s="242">
        <f t="shared" si="35"/>
        <v>0.90963836863131697</v>
      </c>
      <c r="I171" s="157"/>
    </row>
    <row r="172" spans="1:9" ht="15.75" x14ac:dyDescent="0.25">
      <c r="A172" s="164"/>
      <c r="B172" s="165">
        <f>DATE(19,3,1)</f>
        <v>7000</v>
      </c>
      <c r="C172" s="226">
        <v>233670448.15000001</v>
      </c>
      <c r="D172" s="226">
        <v>20916752.149999999</v>
      </c>
      <c r="E172" s="226">
        <v>21744558.07</v>
      </c>
      <c r="F172" s="166">
        <f t="shared" si="33"/>
        <v>-3.80695674446513E-2</v>
      </c>
      <c r="G172" s="241">
        <f t="shared" si="34"/>
        <v>8.9513895811818331E-2</v>
      </c>
      <c r="H172" s="242">
        <f t="shared" si="35"/>
        <v>0.91048610418818166</v>
      </c>
      <c r="I172" s="157"/>
    </row>
    <row r="173" spans="1:9" ht="15.75" x14ac:dyDescent="0.25">
      <c r="A173" s="164"/>
      <c r="B173" s="165">
        <f>DATE(19,4,1)</f>
        <v>7031</v>
      </c>
      <c r="C173" s="226">
        <v>210046620.22999999</v>
      </c>
      <c r="D173" s="226">
        <v>18972432.550000001</v>
      </c>
      <c r="E173" s="226">
        <v>19265202.350000001</v>
      </c>
      <c r="F173" s="166">
        <f t="shared" si="33"/>
        <v>-1.5196819357570918E-2</v>
      </c>
      <c r="G173" s="241">
        <f t="shared" si="34"/>
        <v>9.0324864685874418E-2</v>
      </c>
      <c r="H173" s="242">
        <f t="shared" si="35"/>
        <v>0.90967513531412558</v>
      </c>
      <c r="I173" s="157"/>
    </row>
    <row r="174" spans="1:9" ht="15.75" x14ac:dyDescent="0.25">
      <c r="A174" s="164"/>
      <c r="B174" s="165">
        <f>DATE(19,5,1)</f>
        <v>7061</v>
      </c>
      <c r="C174" s="226">
        <v>217520826.25</v>
      </c>
      <c r="D174" s="226">
        <v>19794771.41</v>
      </c>
      <c r="E174" s="226">
        <v>19274378.739999998</v>
      </c>
      <c r="F174" s="166">
        <f t="shared" si="33"/>
        <v>2.6999192919252651E-2</v>
      </c>
      <c r="G174" s="241">
        <f t="shared" si="34"/>
        <v>9.1001729587260619E-2</v>
      </c>
      <c r="H174" s="242">
        <f t="shared" si="35"/>
        <v>0.9089982704127394</v>
      </c>
      <c r="I174" s="157"/>
    </row>
    <row r="175" spans="1:9" ht="15.75" thickBot="1" x14ac:dyDescent="0.25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Top="1" thickBot="1" x14ac:dyDescent="0.3">
      <c r="A176" s="174" t="s">
        <v>14</v>
      </c>
      <c r="B176" s="175"/>
      <c r="C176" s="228">
        <f>SUM(C164:C175)</f>
        <v>2282632488.9900002</v>
      </c>
      <c r="D176" s="228">
        <f>SUM(D164:D175)</f>
        <v>205189310.14999998</v>
      </c>
      <c r="E176" s="228">
        <f>SUM(E164:E175)</f>
        <v>207120971.63999999</v>
      </c>
      <c r="F176" s="176">
        <f>(+D176-E176)/E176</f>
        <v>-9.326247722309158E-3</v>
      </c>
      <c r="G176" s="245">
        <f>D176/C176</f>
        <v>8.9891522678182151E-2</v>
      </c>
      <c r="H176" s="246">
        <f>1-G176</f>
        <v>0.91010847732181788</v>
      </c>
      <c r="I176" s="157"/>
    </row>
    <row r="177" spans="1:9" ht="15.75" thickTop="1" x14ac:dyDescent="0.2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 x14ac:dyDescent="0.25">
      <c r="A178" s="164" t="s">
        <v>64</v>
      </c>
      <c r="B178" s="165">
        <f>DATE(18,7,1)</f>
        <v>6757</v>
      </c>
      <c r="C178" s="226">
        <v>30178966.07</v>
      </c>
      <c r="D178" s="226">
        <v>3425449</v>
      </c>
      <c r="E178" s="226">
        <v>3031134.15</v>
      </c>
      <c r="F178" s="166">
        <f t="shared" ref="F178:F188" si="36">(+D178-E178)/E178</f>
        <v>0.13008822126859682</v>
      </c>
      <c r="G178" s="241">
        <f t="shared" ref="G178:G188" si="37">D178/C178</f>
        <v>0.11350451808238506</v>
      </c>
      <c r="H178" s="242">
        <f t="shared" ref="H178:H188" si="38">1-G178</f>
        <v>0.88649548191761496</v>
      </c>
      <c r="I178" s="157"/>
    </row>
    <row r="179" spans="1:9" ht="15.75" x14ac:dyDescent="0.25">
      <c r="A179" s="164"/>
      <c r="B179" s="165">
        <f>DATE(18,8,1)</f>
        <v>6788</v>
      </c>
      <c r="C179" s="226">
        <v>31687944.140000001</v>
      </c>
      <c r="D179" s="226">
        <v>3421840.59</v>
      </c>
      <c r="E179" s="226">
        <v>3021204.93</v>
      </c>
      <c r="F179" s="166">
        <f t="shared" si="36"/>
        <v>0.13260790621045349</v>
      </c>
      <c r="G179" s="241">
        <f t="shared" si="37"/>
        <v>0.10798556621035497</v>
      </c>
      <c r="H179" s="242">
        <f t="shared" si="38"/>
        <v>0.89201443378964507</v>
      </c>
      <c r="I179" s="157"/>
    </row>
    <row r="180" spans="1:9" ht="15.75" x14ac:dyDescent="0.25">
      <c r="A180" s="164"/>
      <c r="B180" s="165">
        <f>DATE(18,9,1)</f>
        <v>6819</v>
      </c>
      <c r="C180" s="226">
        <v>28817033.199999999</v>
      </c>
      <c r="D180" s="226">
        <v>3252949</v>
      </c>
      <c r="E180" s="226">
        <v>3254625.5</v>
      </c>
      <c r="F180" s="166">
        <f t="shared" si="36"/>
        <v>-5.1511302913345941E-4</v>
      </c>
      <c r="G180" s="241">
        <f t="shared" si="37"/>
        <v>0.11288285568550478</v>
      </c>
      <c r="H180" s="242">
        <f t="shared" si="38"/>
        <v>0.88711714431449518</v>
      </c>
      <c r="I180" s="157"/>
    </row>
    <row r="181" spans="1:9" ht="15.75" x14ac:dyDescent="0.25">
      <c r="A181" s="164"/>
      <c r="B181" s="165">
        <f>DATE(18,10,1)</f>
        <v>6849</v>
      </c>
      <c r="C181" s="226">
        <v>29906173.859999999</v>
      </c>
      <c r="D181" s="226">
        <v>3250399.43</v>
      </c>
      <c r="E181" s="226">
        <v>3125463.3</v>
      </c>
      <c r="F181" s="166">
        <f t="shared" si="36"/>
        <v>3.9973635268729713E-2</v>
      </c>
      <c r="G181" s="241">
        <f t="shared" si="37"/>
        <v>0.10868656904143338</v>
      </c>
      <c r="H181" s="242">
        <f t="shared" si="38"/>
        <v>0.89131343095856663</v>
      </c>
      <c r="I181" s="157"/>
    </row>
    <row r="182" spans="1:9" ht="15.75" x14ac:dyDescent="0.25">
      <c r="A182" s="164"/>
      <c r="B182" s="165">
        <f>DATE(18,11,1)</f>
        <v>6880</v>
      </c>
      <c r="C182" s="226">
        <v>28831016.57</v>
      </c>
      <c r="D182" s="226">
        <v>3195617.35</v>
      </c>
      <c r="E182" s="226">
        <v>3210022.57</v>
      </c>
      <c r="F182" s="166">
        <f t="shared" si="36"/>
        <v>-4.4875759238040937E-3</v>
      </c>
      <c r="G182" s="241">
        <f t="shared" si="37"/>
        <v>0.11083956551588219</v>
      </c>
      <c r="H182" s="242">
        <f t="shared" si="38"/>
        <v>0.88916043448411786</v>
      </c>
      <c r="I182" s="157"/>
    </row>
    <row r="183" spans="1:9" ht="15.75" x14ac:dyDescent="0.25">
      <c r="A183" s="164"/>
      <c r="B183" s="165">
        <f>DATE(18,12,1)</f>
        <v>6910</v>
      </c>
      <c r="C183" s="226">
        <v>32019263.800000001</v>
      </c>
      <c r="D183" s="226">
        <v>3572083.96</v>
      </c>
      <c r="E183" s="226">
        <v>3515871.15</v>
      </c>
      <c r="F183" s="166">
        <f t="shared" si="36"/>
        <v>1.5988302074153103E-2</v>
      </c>
      <c r="G183" s="241">
        <f t="shared" si="37"/>
        <v>0.11156046504729443</v>
      </c>
      <c r="H183" s="242">
        <f t="shared" si="38"/>
        <v>0.88843953495270556</v>
      </c>
      <c r="I183" s="157"/>
    </row>
    <row r="184" spans="1:9" ht="15.75" x14ac:dyDescent="0.25">
      <c r="A184" s="164"/>
      <c r="B184" s="165">
        <f>DATE(19,1,1)</f>
        <v>6941</v>
      </c>
      <c r="C184" s="226">
        <v>26958137.510000002</v>
      </c>
      <c r="D184" s="226">
        <v>3109821.23</v>
      </c>
      <c r="E184" s="226">
        <v>3085963.24</v>
      </c>
      <c r="F184" s="166">
        <f t="shared" si="36"/>
        <v>7.7311322736299849E-3</v>
      </c>
      <c r="G184" s="241">
        <f t="shared" si="37"/>
        <v>0.11535742144079596</v>
      </c>
      <c r="H184" s="242">
        <f t="shared" si="38"/>
        <v>0.88464257855920403</v>
      </c>
      <c r="I184" s="157"/>
    </row>
    <row r="185" spans="1:9" ht="15.75" x14ac:dyDescent="0.25">
      <c r="A185" s="164"/>
      <c r="B185" s="165">
        <f>DATE(19,2,1)</f>
        <v>6972</v>
      </c>
      <c r="C185" s="226">
        <v>29682847.850000001</v>
      </c>
      <c r="D185" s="226">
        <v>3355638.84</v>
      </c>
      <c r="E185" s="226">
        <v>3332057.19</v>
      </c>
      <c r="F185" s="166">
        <f t="shared" si="36"/>
        <v>7.0772044581863579E-3</v>
      </c>
      <c r="G185" s="241">
        <f t="shared" si="37"/>
        <v>0.11304976048650937</v>
      </c>
      <c r="H185" s="242">
        <f t="shared" si="38"/>
        <v>0.88695023951349061</v>
      </c>
      <c r="I185" s="157"/>
    </row>
    <row r="186" spans="1:9" ht="15.75" x14ac:dyDescent="0.25">
      <c r="A186" s="164"/>
      <c r="B186" s="165">
        <f>DATE(19,3,1)</f>
        <v>7000</v>
      </c>
      <c r="C186" s="226">
        <v>19224046.449999999</v>
      </c>
      <c r="D186" s="226">
        <v>2155967.5699999998</v>
      </c>
      <c r="E186" s="226">
        <v>4151066.17</v>
      </c>
      <c r="F186" s="166">
        <f t="shared" si="36"/>
        <v>-0.48062317445544361</v>
      </c>
      <c r="G186" s="241">
        <f t="shared" si="37"/>
        <v>0.11214951938487434</v>
      </c>
      <c r="H186" s="242">
        <f t="shared" si="38"/>
        <v>0.88785048061512561</v>
      </c>
      <c r="I186" s="157"/>
    </row>
    <row r="187" spans="1:9" ht="15.75" x14ac:dyDescent="0.25">
      <c r="A187" s="164"/>
      <c r="B187" s="165">
        <f>DATE(19,4,1)</f>
        <v>7031</v>
      </c>
      <c r="C187" s="226">
        <v>10304580.029999999</v>
      </c>
      <c r="D187" s="226">
        <v>1189025.8600000001</v>
      </c>
      <c r="E187" s="226">
        <v>3563936.22</v>
      </c>
      <c r="F187" s="166">
        <f t="shared" si="36"/>
        <v>-0.6663728566949495</v>
      </c>
      <c r="G187" s="241">
        <f t="shared" si="37"/>
        <v>0.11538809505466087</v>
      </c>
      <c r="H187" s="242">
        <f t="shared" si="38"/>
        <v>0.88461190494533914</v>
      </c>
      <c r="I187" s="157"/>
    </row>
    <row r="188" spans="1:9" ht="15.75" x14ac:dyDescent="0.25">
      <c r="A188" s="164"/>
      <c r="B188" s="165">
        <f>DATE(19,5,1)</f>
        <v>7061</v>
      </c>
      <c r="C188" s="226">
        <v>28247930.350000001</v>
      </c>
      <c r="D188" s="226">
        <v>3072336.8</v>
      </c>
      <c r="E188" s="226">
        <v>3456038.42</v>
      </c>
      <c r="F188" s="166">
        <f t="shared" si="36"/>
        <v>-0.1110235400681686</v>
      </c>
      <c r="G188" s="241">
        <f t="shared" si="37"/>
        <v>0.10876325316343043</v>
      </c>
      <c r="H188" s="242">
        <f t="shared" si="38"/>
        <v>0.89123674683656962</v>
      </c>
      <c r="I188" s="157"/>
    </row>
    <row r="189" spans="1:9" ht="15.75" thickBot="1" x14ac:dyDescent="0.25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Top="1" thickBot="1" x14ac:dyDescent="0.3">
      <c r="A190" s="169" t="s">
        <v>14</v>
      </c>
      <c r="B190" s="155"/>
      <c r="C190" s="223">
        <f>SUM(C178:C189)</f>
        <v>295857939.82999998</v>
      </c>
      <c r="D190" s="223">
        <f>SUM(D178:D189)</f>
        <v>33001129.629999999</v>
      </c>
      <c r="E190" s="223">
        <f>SUM(E178:E189)</f>
        <v>36747382.839999996</v>
      </c>
      <c r="F190" s="176">
        <f>(+D190-E190)/E190</f>
        <v>-0.10194612297456331</v>
      </c>
      <c r="G190" s="245">
        <f>D190/C190</f>
        <v>0.11154383637282965</v>
      </c>
      <c r="H190" s="246">
        <f>1-G190</f>
        <v>0.88845616362717039</v>
      </c>
      <c r="I190" s="157"/>
    </row>
    <row r="191" spans="1:9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Top="1" thickBot="1" x14ac:dyDescent="0.3">
      <c r="A192" s="184" t="s">
        <v>41</v>
      </c>
      <c r="B192" s="155"/>
      <c r="C192" s="223">
        <f>C190+C176+C134+C106+C78+C50+C22+C64+C162+C36+C120+C148+C92</f>
        <v>13903440146.16</v>
      </c>
      <c r="D192" s="223">
        <f>D190+D176+D134+D106+D78+D50+D22+D64+D162+D36+D120+D148+D92</f>
        <v>1352133962.3399999</v>
      </c>
      <c r="E192" s="223">
        <f>E190+E176+E134+E106+E78+E50+E22+E64+E162+E36+E120+E148+E92</f>
        <v>1370349400.8800001</v>
      </c>
      <c r="F192" s="170">
        <f>(+D192-E192)/E192</f>
        <v>-1.3292550446114512E-2</v>
      </c>
      <c r="G192" s="236">
        <f>D192/C192</f>
        <v>9.7251755545798985E-2</v>
      </c>
      <c r="H192" s="237">
        <f>1-G192</f>
        <v>0.90274824445420099</v>
      </c>
      <c r="I192" s="157"/>
    </row>
    <row r="193" spans="1:9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Top="1" thickBot="1" x14ac:dyDescent="0.3">
      <c r="A194" s="184" t="s">
        <v>42</v>
      </c>
      <c r="B194" s="155"/>
      <c r="C194" s="223">
        <f>+C20+C34+C48+C62+C76+C90+C104+C118+C132+C146+C160+C174+C188</f>
        <v>1332527269.5599999</v>
      </c>
      <c r="D194" s="223">
        <f>+D20+D34+D48+D62+D76+D90+D104+D118+D132+D146+D160+D174+D188</f>
        <v>129435518.42</v>
      </c>
      <c r="E194" s="223">
        <f>+E20+E34+E48+E62+E76+E90+E104+E118+E132+E146+E160+E174+E188</f>
        <v>125526786.77</v>
      </c>
      <c r="F194" s="170">
        <f>(+D194-E194)/E194</f>
        <v>3.1138625870842134E-2</v>
      </c>
      <c r="G194" s="236">
        <f>D194/C194</f>
        <v>9.713536178718471E-2</v>
      </c>
      <c r="H194" s="246">
        <f>1-G194</f>
        <v>0.90286463821281526</v>
      </c>
      <c r="I194" s="157"/>
    </row>
    <row r="195" spans="1:9" ht="16.5" thickTop="1" x14ac:dyDescent="0.25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 x14ac:dyDescent="0.3">
      <c r="A196" s="188" t="s">
        <v>52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.75" x14ac:dyDescent="0.2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.75" x14ac:dyDescent="0.25">
      <c r="A198" s="72"/>
      <c r="I198" s="151"/>
    </row>
  </sheetData>
  <phoneticPr fontId="0" type="noConversion"/>
  <printOptions horizontalCentered="1"/>
  <pageMargins left="0.75" right="0.25" top="0.31940000000000002" bottom="0.2" header="0.5" footer="0.5"/>
  <pageSetup scale="66" orientation="landscape" r:id="rId1"/>
  <headerFooter alignWithMargins="0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2019-06-06T14:23:34Z</cp:lastPrinted>
  <dcterms:created xsi:type="dcterms:W3CDTF">2003-09-09T14:41:43Z</dcterms:created>
  <dcterms:modified xsi:type="dcterms:W3CDTF">2019-06-07T12:44:59Z</dcterms:modified>
</cp:coreProperties>
</file>