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7530" windowHeight="4050" activeTab="0"/>
  </bookViews>
  <sheets>
    <sheet name="MONTHLY STATS" sheetId="1" r:id="rId1"/>
    <sheet name="YTD TAXES" sheetId="2" r:id="rId2"/>
    <sheet name="TABLE STATS" sheetId="3" r:id="rId3"/>
    <sheet name="SLOT STATS" sheetId="4" r:id="rId4"/>
  </sheets>
  <definedNames>
    <definedName name="_xlnm.Print_Area" localSheetId="0">'MONTHLY STATS'!$A$1:$M$117</definedName>
    <definedName name="_xlnm.Print_Area" localSheetId="3">'SLOT STATS'!$A$1:$I$118</definedName>
    <definedName name="_xlnm.Print_Area" localSheetId="2">'TABLE STATS'!$A$1:$H$117</definedName>
    <definedName name="_xlnm.Print_Titles" localSheetId="0">'MONTHLY STATS'!$1:$7</definedName>
    <definedName name="_xlnm.Print_Titles" localSheetId="3">'SLOT STATS'!$1:$8</definedName>
    <definedName name="_xlnm.Print_Titles" localSheetId="2">'TABLE STATS'!$1:$7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<sst xmlns="http://schemas.openxmlformats.org/spreadsheetml/2006/main" count="192" uniqueCount="75">
  <si>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</si>
  <si>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</si>
  <si>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</si>
  <si>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</si>
  <si>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</si>
  <si>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</si>
  <si>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</si>
  <si>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</si>
  <si>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</si>
  <si>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</si>
  <si>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</si>
  <si>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</si>
  <si>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</si>
  <si>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</si>
  <si>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</si>
  <si>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</si>
  <si>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>HARRAHS NKC</t>
  </si>
  <si>
    <t>ISLE OF CAPRI - KC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</si>
  <si>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</si>
  <si>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</si>
  <si>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</si>
  <si>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</si>
  <si>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</si>
  <si>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</si>
  <si>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</si>
  <si>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</si>
  <si>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</si>
  <si>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</si>
  <si>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</si>
  <si>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</si>
  <si>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</si>
  <si>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</si>
  <si>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</si>
  <si>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</si>
  <si>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</si>
  <si>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</si>
  <si>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</si>
  <si>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</si>
  <si>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</si>
  <si>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>HARRAHS NORTH KC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</si>
  <si>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</si>
  <si>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</si>
  <si>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</si>
  <si>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</si>
  <si>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</si>
  <si>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</si>
  <si>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</si>
  <si>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</si>
  <si>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</si>
  <si>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</si>
  <si>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</si>
  <si>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</si>
  <si>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</si>
  <si>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</si>
  <si>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</si>
  <si>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</si>
  <si>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IOC - LADY LUCK</t>
  </si>
  <si>
    <t>RIVER CITY</t>
  </si>
  <si>
    <t xml:space="preserve">RIVER CITY </t>
  </si>
  <si>
    <t xml:space="preserve">MARK TWAIN </t>
  </si>
  <si>
    <t xml:space="preserve">IOC - LADY LUCK </t>
  </si>
  <si>
    <t>IOC - CAPE GIRARDEAU</t>
  </si>
  <si>
    <t>HOLLYWOOD</t>
  </si>
  <si>
    <t>ST. JO FRONTIER</t>
  </si>
  <si>
    <t xml:space="preserve">ST. JO FRONTIER </t>
  </si>
  <si>
    <t xml:space="preserve">HOLLYWOOD </t>
  </si>
  <si>
    <t xml:space="preserve">IOC - CAPE GIRARDEAU </t>
  </si>
  <si>
    <t xml:space="preserve">LUMIERE PLACE </t>
  </si>
  <si>
    <t xml:space="preserve">FISCAL 2018 YTD ADMISSIONS, PATRONS AND AGR SUMMARY </t>
  </si>
  <si>
    <t>MONTH ENDED:   NOVEMBER 30, 2017</t>
  </si>
  <si>
    <t>(as reported on the tax remittal database dtd 12/7/17)</t>
  </si>
  <si>
    <t>FOR THE MONTH ENDED:   NOVEMBER 30, 2017</t>
  </si>
  <si>
    <t>THRU MONTH ENDED:   NOVEMBER 30, 2017</t>
  </si>
  <si>
    <t>(as reported on the tax remittal database as of 12/7/17)</t>
  </si>
  <si>
    <t>THRU MONTH ENDED:     NOVEMBER 30, 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</si>
</sst>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%"/>
    <numFmt numFmtId="166" formatCode="#,##0.00;[Red]\-#,##0.00"/>
    <numFmt numFmtId="167" formatCode="0.0%"/>
  </numFmts>
  <fonts count="4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4"/>
      <name val="Arial"/>
      <family val="0"/>
    </font>
    <font>
      <b/>
      <i/>
      <sz val="14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8"/>
      <name val="Arial"/>
      <family val="0"/>
    </font>
    <font>
      <b/>
      <i/>
      <u val="single"/>
      <sz val="14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61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89">
    <xf numFmtId="164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0" fillId="33" borderId="10" xfId="0" applyFont="1" applyFill="1" applyBorder="1" applyAlignment="1">
      <alignment/>
    </xf>
    <xf numFmtId="164" fontId="8" fillId="33" borderId="11" xfId="0" applyFont="1" applyFill="1" applyBorder="1" applyAlignment="1">
      <alignment horizontal="center"/>
    </xf>
    <xf numFmtId="164" fontId="8" fillId="34" borderId="11" xfId="0" applyFont="1" applyFill="1" applyBorder="1" applyAlignment="1">
      <alignment horizontal="center"/>
    </xf>
    <xf numFmtId="164" fontId="8" fillId="34" borderId="12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9" fillId="33" borderId="13" xfId="0" applyFont="1" applyFill="1" applyBorder="1" applyAlignment="1">
      <alignment horizontal="center"/>
    </xf>
    <xf numFmtId="164" fontId="8" fillId="33" borderId="14" xfId="0" applyFont="1" applyFill="1" applyBorder="1" applyAlignment="1">
      <alignment horizontal="center"/>
    </xf>
    <xf numFmtId="164" fontId="0" fillId="34" borderId="14" xfId="0" applyFill="1" applyBorder="1" applyAlignment="1">
      <alignment horizontal="center"/>
    </xf>
    <xf numFmtId="164" fontId="8" fillId="34" borderId="15" xfId="0" applyFont="1" applyFill="1" applyBorder="1" applyAlignment="1">
      <alignment horizontal="center"/>
    </xf>
    <xf numFmtId="164" fontId="10" fillId="0" borderId="10" xfId="0" applyFont="1" applyBorder="1" applyAlignment="1">
      <alignment horizontal="center"/>
    </xf>
    <xf numFmtId="164" fontId="10" fillId="0" borderId="11" xfId="0" applyFont="1" applyBorder="1" applyAlignment="1">
      <alignment horizontal="center"/>
    </xf>
    <xf numFmtId="164" fontId="10" fillId="34" borderId="11" xfId="0" applyFont="1" applyFill="1" applyBorder="1" applyAlignment="1">
      <alignment horizontal="center"/>
    </xf>
    <xf numFmtId="164" fontId="10" fillId="34" borderId="12" xfId="0" applyFont="1" applyFill="1" applyBorder="1" applyAlignment="1">
      <alignment horizontal="center"/>
    </xf>
    <xf numFmtId="166" fontId="9" fillId="0" borderId="13" xfId="0" applyNumberFormat="1" applyFont="1" applyBorder="1" applyAlignment="1">
      <alignment/>
    </xf>
    <xf numFmtId="17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9" fontId="0" fillId="34" borderId="14" xfId="0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9" fontId="0" fillId="34" borderId="15" xfId="0" applyNumberFormat="1" applyFont="1" applyFill="1" applyBorder="1" applyAlignment="1">
      <alignment horizontal="center"/>
    </xf>
    <xf numFmtId="166" fontId="9" fillId="33" borderId="10" xfId="0" applyNumberFormat="1" applyFont="1" applyFill="1" applyBorder="1" applyAlignment="1">
      <alignment/>
    </xf>
    <xf numFmtId="164" fontId="0" fillId="33" borderId="11" xfId="0" applyFont="1" applyFill="1" applyBorder="1" applyAlignment="1">
      <alignment horizontal="center"/>
    </xf>
    <xf numFmtId="3" fontId="9" fillId="33" borderId="11" xfId="0" applyNumberFormat="1" applyFont="1" applyFill="1" applyBorder="1" applyAlignment="1">
      <alignment horizontal="center"/>
    </xf>
    <xf numFmtId="9" fontId="0" fillId="34" borderId="11" xfId="0" applyNumberFormat="1" applyFont="1" applyFill="1" applyBorder="1" applyAlignment="1">
      <alignment horizontal="center"/>
    </xf>
    <xf numFmtId="9" fontId="9" fillId="34" borderId="11" xfId="0" applyNumberFormat="1" applyFont="1" applyFill="1" applyBorder="1" applyAlignment="1">
      <alignment horizontal="center"/>
    </xf>
    <xf numFmtId="4" fontId="9" fillId="33" borderId="11" xfId="0" applyNumberFormat="1" applyFont="1" applyFill="1" applyBorder="1" applyAlignment="1">
      <alignment horizontal="center"/>
    </xf>
    <xf numFmtId="9" fontId="9" fillId="34" borderId="12" xfId="0" applyNumberFormat="1" applyFont="1" applyFill="1" applyBorder="1" applyAlignment="1">
      <alignment horizontal="center"/>
    </xf>
    <xf numFmtId="166" fontId="9" fillId="0" borderId="10" xfId="0" applyNumberFormat="1" applyFont="1" applyBorder="1" applyAlignment="1">
      <alignment/>
    </xf>
    <xf numFmtId="164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9" fontId="0" fillId="34" borderId="12" xfId="0" applyNumberFormat="1" applyFont="1" applyFill="1" applyBorder="1" applyAlignment="1">
      <alignment horizontal="center"/>
    </xf>
    <xf numFmtId="166" fontId="0" fillId="0" borderId="13" xfId="0" applyNumberFormat="1" applyFont="1" applyBorder="1" applyAlignment="1">
      <alignment/>
    </xf>
    <xf numFmtId="166" fontId="9" fillId="33" borderId="16" xfId="0" applyNumberFormat="1" applyFont="1" applyFill="1" applyBorder="1" applyAlignment="1">
      <alignment/>
    </xf>
    <xf numFmtId="164" fontId="0" fillId="33" borderId="17" xfId="0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4" fontId="9" fillId="33" borderId="17" xfId="0" applyNumberFormat="1" applyFont="1" applyFill="1" applyBorder="1" applyAlignment="1">
      <alignment horizontal="center"/>
    </xf>
    <xf numFmtId="9" fontId="9" fillId="34" borderId="18" xfId="0" applyNumberFormat="1" applyFont="1" applyFill="1" applyBorder="1" applyAlignment="1">
      <alignment horizontal="center"/>
    </xf>
    <xf numFmtId="164" fontId="0" fillId="0" borderId="14" xfId="0" applyFont="1" applyBorder="1" applyAlignment="1">
      <alignment horizontal="center"/>
    </xf>
    <xf numFmtId="9" fontId="0" fillId="34" borderId="19" xfId="0" applyNumberFormat="1" applyFont="1" applyFill="1" applyBorder="1" applyAlignment="1">
      <alignment horizontal="center"/>
    </xf>
    <xf numFmtId="3" fontId="9" fillId="33" borderId="20" xfId="0" applyNumberFormat="1" applyFont="1" applyFill="1" applyBorder="1" applyAlignment="1">
      <alignment horizontal="center"/>
    </xf>
    <xf numFmtId="3" fontId="9" fillId="33" borderId="19" xfId="0" applyNumberFormat="1" applyFont="1" applyFill="1" applyBorder="1" applyAlignment="1">
      <alignment horizontal="center"/>
    </xf>
    <xf numFmtId="9" fontId="9" fillId="34" borderId="20" xfId="0" applyNumberFormat="1" applyFont="1" applyFill="1" applyBorder="1" applyAlignment="1">
      <alignment horizontal="center"/>
    </xf>
    <xf numFmtId="4" fontId="9" fillId="33" borderId="19" xfId="0" applyNumberFormat="1" applyFont="1" applyFill="1" applyBorder="1" applyAlignment="1">
      <alignment horizontal="center"/>
    </xf>
    <xf numFmtId="4" fontId="9" fillId="33" borderId="20" xfId="0" applyNumberFormat="1" applyFont="1" applyFill="1" applyBorder="1" applyAlignment="1">
      <alignment horizontal="center"/>
    </xf>
    <xf numFmtId="164" fontId="0" fillId="33" borderId="19" xfId="0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34" borderId="11" xfId="0" applyNumberFormat="1" applyFont="1" applyFill="1" applyBorder="1" applyAlignment="1">
      <alignment/>
    </xf>
    <xf numFmtId="164" fontId="0" fillId="34" borderId="12" xfId="0" applyNumberFormat="1" applyFon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34" borderId="14" xfId="0" applyNumberFormat="1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166" fontId="9" fillId="33" borderId="21" xfId="0" applyNumberFormat="1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166" fontId="9" fillId="33" borderId="10" xfId="0" applyNumberFormat="1" applyFont="1" applyFill="1" applyBorder="1" applyAlignment="1">
      <alignment horizontal="center"/>
    </xf>
    <xf numFmtId="164" fontId="9" fillId="33" borderId="11" xfId="0" applyFont="1" applyFill="1" applyBorder="1" applyAlignment="1">
      <alignment horizontal="center"/>
    </xf>
    <xf numFmtId="166" fontId="0" fillId="0" borderId="22" xfId="0" applyNumberFormat="1" applyFont="1" applyBorder="1" applyAlignment="1">
      <alignment/>
    </xf>
    <xf numFmtId="164" fontId="0" fillId="0" borderId="22" xfId="0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4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9" fillId="0" borderId="0" xfId="0" applyFont="1" applyAlignment="1">
      <alignment/>
    </xf>
    <xf numFmtId="17" fontId="0" fillId="0" borderId="0" xfId="0" applyNumberFormat="1" applyFont="1" applyAlignment="1">
      <alignment/>
    </xf>
    <xf numFmtId="0" fontId="11" fillId="0" borderId="0" xfId="55" applyFont="1" applyAlignment="1">
      <alignment/>
      <protection/>
    </xf>
    <xf numFmtId="0" fontId="0" fillId="0" borderId="0" xfId="55" applyFont="1" applyAlignment="1">
      <alignment/>
      <protection/>
    </xf>
    <xf numFmtId="0" fontId="0" fillId="0" borderId="0" xfId="55" applyNumberFormat="1" applyFont="1" applyAlignment="1" applyProtection="1">
      <alignment/>
      <protection locked="0"/>
    </xf>
    <xf numFmtId="0" fontId="0" fillId="34" borderId="10" xfId="55" applyFont="1" applyFill="1" applyBorder="1" applyAlignment="1">
      <alignment/>
      <protection/>
    </xf>
    <xf numFmtId="0" fontId="9" fillId="34" borderId="10" xfId="55" applyFont="1" applyFill="1" applyBorder="1" applyAlignment="1">
      <alignment horizontal="center"/>
      <protection/>
    </xf>
    <xf numFmtId="0" fontId="0" fillId="0" borderId="13" xfId="55" applyNumberFormat="1" applyBorder="1">
      <alignment/>
      <protection/>
    </xf>
    <xf numFmtId="0" fontId="10" fillId="34" borderId="13" xfId="55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/>
      <protection/>
    </xf>
    <xf numFmtId="0" fontId="0" fillId="33" borderId="10" xfId="55" applyFont="1" applyFill="1" applyBorder="1" applyAlignment="1">
      <alignment/>
      <protection/>
    </xf>
    <xf numFmtId="0" fontId="0" fillId="0" borderId="10" xfId="55" applyFont="1" applyBorder="1" applyAlignment="1">
      <alignment/>
      <protection/>
    </xf>
    <xf numFmtId="17" fontId="0" fillId="0" borderId="23" xfId="55" applyNumberFormat="1" applyFont="1" applyBorder="1" applyAlignment="1">
      <alignment horizontal="center"/>
      <protection/>
    </xf>
    <xf numFmtId="3" fontId="0" fillId="0" borderId="23" xfId="55" applyNumberFormat="1" applyFont="1" applyBorder="1" applyAlignment="1">
      <alignment horizontal="center"/>
      <protection/>
    </xf>
    <xf numFmtId="3" fontId="9" fillId="0" borderId="23" xfId="55" applyNumberFormat="1" applyFont="1" applyBorder="1" applyAlignment="1">
      <alignment horizontal="center"/>
      <protection/>
    </xf>
    <xf numFmtId="17" fontId="10" fillId="0" borderId="23" xfId="55" applyNumberFormat="1" applyFont="1" applyBorder="1" applyAlignment="1">
      <alignment horizontal="center"/>
      <protection/>
    </xf>
    <xf numFmtId="17" fontId="9" fillId="0" borderId="23" xfId="55" applyNumberFormat="1" applyFont="1" applyBorder="1" applyAlignment="1">
      <alignment horizontal="center"/>
      <protection/>
    </xf>
    <xf numFmtId="17" fontId="0" fillId="0" borderId="22" xfId="55" applyNumberFormat="1" applyFont="1" applyBorder="1" applyAlignment="1">
      <alignment horizontal="center"/>
      <protection/>
    </xf>
    <xf numFmtId="0" fontId="0" fillId="0" borderId="22" xfId="55" applyFont="1" applyBorder="1" applyAlignment="1">
      <alignment horizontal="center"/>
      <protection/>
    </xf>
    <xf numFmtId="0" fontId="0" fillId="0" borderId="22" xfId="55" applyNumberFormat="1" applyFont="1" applyBorder="1" applyAlignment="1">
      <alignment horizontal="center"/>
      <protection/>
    </xf>
    <xf numFmtId="17" fontId="11" fillId="0" borderId="0" xfId="55" applyNumberFormat="1" applyFont="1" applyAlignment="1">
      <alignment horizontal="centerContinuous"/>
      <protection/>
    </xf>
    <xf numFmtId="0" fontId="11" fillId="0" borderId="0" xfId="55" applyNumberFormat="1" applyFont="1" applyAlignment="1">
      <alignment horizontal="centerContinuous"/>
      <protection/>
    </xf>
    <xf numFmtId="0" fontId="0" fillId="0" borderId="0" xfId="55" applyFont="1" applyAlignment="1">
      <alignment horizontal="center"/>
      <protection/>
    </xf>
    <xf numFmtId="0" fontId="0" fillId="0" borderId="0" xfId="55" applyNumberFormat="1" applyFont="1" applyAlignment="1">
      <alignment horizontal="center"/>
      <protection/>
    </xf>
    <xf numFmtId="17" fontId="0" fillId="34" borderId="10" xfId="55" applyNumberFormat="1" applyFont="1" applyFill="1" applyBorder="1" applyAlignment="1">
      <alignment horizontal="center"/>
      <protection/>
    </xf>
    <xf numFmtId="0" fontId="0" fillId="34" borderId="10" xfId="55" applyFont="1" applyFill="1" applyBorder="1" applyAlignment="1">
      <alignment horizontal="center"/>
      <protection/>
    </xf>
    <xf numFmtId="0" fontId="10" fillId="34" borderId="10" xfId="55" applyFont="1" applyFill="1" applyBorder="1" applyAlignment="1">
      <alignment horizontal="center"/>
      <protection/>
    </xf>
    <xf numFmtId="0" fontId="0" fillId="34" borderId="10" xfId="55" applyNumberFormat="1" applyFont="1" applyFill="1" applyBorder="1" applyAlignment="1">
      <alignment horizontal="center"/>
      <protection/>
    </xf>
    <xf numFmtId="0" fontId="9" fillId="34" borderId="10" xfId="55" applyNumberFormat="1" applyFont="1" applyFill="1" applyBorder="1" applyAlignment="1">
      <alignment horizontal="center"/>
      <protection/>
    </xf>
    <xf numFmtId="17" fontId="10" fillId="34" borderId="13" xfId="55" applyNumberFormat="1" applyFont="1" applyFill="1" applyBorder="1" applyAlignment="1">
      <alignment horizontal="center"/>
      <protection/>
    </xf>
    <xf numFmtId="0" fontId="10" fillId="34" borderId="13" xfId="55" applyNumberFormat="1" applyFont="1" applyFill="1" applyBorder="1" applyAlignment="1">
      <alignment horizontal="center"/>
      <protection/>
    </xf>
    <xf numFmtId="17" fontId="0" fillId="34" borderId="13" xfId="55" applyNumberFormat="1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 horizontal="center"/>
      <protection/>
    </xf>
    <xf numFmtId="0" fontId="0" fillId="34" borderId="13" xfId="55" applyNumberFormat="1" applyFont="1" applyFill="1" applyBorder="1" applyAlignment="1">
      <alignment horizontal="center"/>
      <protection/>
    </xf>
    <xf numFmtId="17" fontId="0" fillId="33" borderId="10" xfId="55" applyNumberFormat="1" applyFont="1" applyFill="1" applyBorder="1" applyAlignment="1">
      <alignment horizontal="center"/>
      <protection/>
    </xf>
    <xf numFmtId="0" fontId="0" fillId="33" borderId="10" xfId="55" applyFont="1" applyFill="1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33" borderId="10" xfId="55" applyNumberFormat="1" applyFont="1" applyFill="1" applyBorder="1" applyAlignment="1">
      <alignment horizontal="center"/>
      <protection/>
    </xf>
    <xf numFmtId="4" fontId="0" fillId="0" borderId="22" xfId="55" applyNumberFormat="1" applyFont="1" applyBorder="1" applyAlignment="1">
      <alignment horizontal="center"/>
      <protection/>
    </xf>
    <xf numFmtId="0" fontId="10" fillId="0" borderId="0" xfId="55" applyFont="1" applyAlignment="1">
      <alignment horizontal="left"/>
      <protection/>
    </xf>
    <xf numFmtId="0" fontId="6" fillId="0" borderId="0" xfId="54" applyNumberFormat="1" applyFont="1" applyAlignment="1">
      <alignment/>
      <protection/>
    </xf>
    <xf numFmtId="0" fontId="0" fillId="0" borderId="0" xfId="54" applyNumberFormat="1" applyFont="1" applyAlignment="1">
      <alignment/>
      <protection/>
    </xf>
    <xf numFmtId="0" fontId="0" fillId="0" borderId="0" xfId="54" applyAlignment="1">
      <alignment/>
      <protection/>
    </xf>
    <xf numFmtId="0" fontId="7" fillId="0" borderId="0" xfId="54" applyNumberFormat="1" applyFont="1" applyAlignment="1">
      <alignment/>
      <protection/>
    </xf>
    <xf numFmtId="0" fontId="0" fillId="33" borderId="10" xfId="54" applyNumberFormat="1" applyFont="1" applyFill="1" applyBorder="1" applyAlignment="1">
      <alignment/>
      <protection/>
    </xf>
    <xf numFmtId="0" fontId="9" fillId="33" borderId="11" xfId="54" applyNumberFormat="1" applyFont="1" applyFill="1" applyBorder="1" applyAlignment="1">
      <alignment horizontal="center"/>
      <protection/>
    </xf>
    <xf numFmtId="0" fontId="9" fillId="34" borderId="11" xfId="54" applyNumberFormat="1" applyFont="1" applyFill="1" applyBorder="1" applyAlignment="1">
      <alignment horizontal="center"/>
      <protection/>
    </xf>
    <xf numFmtId="0" fontId="0" fillId="0" borderId="13" xfId="54" applyBorder="1">
      <alignment/>
      <protection/>
    </xf>
    <xf numFmtId="0" fontId="9" fillId="33" borderId="24" xfId="54" applyNumberFormat="1" applyFont="1" applyFill="1" applyBorder="1" applyAlignment="1">
      <alignment horizontal="center"/>
      <protection/>
    </xf>
    <xf numFmtId="0" fontId="9" fillId="33" borderId="25" xfId="54" applyNumberFormat="1" applyFont="1" applyFill="1" applyBorder="1" applyAlignment="1">
      <alignment horizontal="center"/>
      <protection/>
    </xf>
    <xf numFmtId="0" fontId="9" fillId="34" borderId="25" xfId="54" applyNumberFormat="1" applyFont="1" applyFill="1" applyBorder="1" applyAlignment="1">
      <alignment horizontal="center"/>
      <protection/>
    </xf>
    <xf numFmtId="0" fontId="10" fillId="0" borderId="13" xfId="54" applyNumberFormat="1" applyFont="1" applyBorder="1" applyAlignment="1">
      <alignment horizontal="center"/>
      <protection/>
    </xf>
    <xf numFmtId="0" fontId="10" fillId="0" borderId="14" xfId="54" applyNumberFormat="1" applyFont="1" applyBorder="1" applyAlignment="1">
      <alignment horizontal="center"/>
      <protection/>
    </xf>
    <xf numFmtId="0" fontId="10" fillId="34" borderId="14" xfId="54" applyNumberFormat="1" applyFont="1" applyFill="1" applyBorder="1" applyAlignment="1">
      <alignment horizontal="center"/>
      <protection/>
    </xf>
    <xf numFmtId="166" fontId="9" fillId="0" borderId="13" xfId="54" applyNumberFormat="1" applyFont="1" applyBorder="1" applyAlignment="1">
      <alignment/>
      <protection/>
    </xf>
    <xf numFmtId="17" fontId="0" fillId="0" borderId="14" xfId="54" applyNumberFormat="1" applyFont="1" applyBorder="1" applyAlignment="1">
      <alignment horizontal="center"/>
      <protection/>
    </xf>
    <xf numFmtId="9" fontId="0" fillId="34" borderId="14" xfId="54" applyNumberFormat="1" applyFont="1" applyFill="1" applyBorder="1" applyAlignment="1">
      <alignment horizontal="center"/>
      <protection/>
    </xf>
    <xf numFmtId="166" fontId="0" fillId="0" borderId="13" xfId="54" applyNumberFormat="1" applyFont="1" applyBorder="1" applyAlignment="1">
      <alignment/>
      <protection/>
    </xf>
    <xf numFmtId="0" fontId="0" fillId="0" borderId="14" xfId="54" applyNumberFormat="1" applyFont="1" applyBorder="1" applyAlignment="1">
      <alignment horizontal="center"/>
      <protection/>
    </xf>
    <xf numFmtId="166" fontId="9" fillId="33" borderId="10" xfId="54" applyNumberFormat="1" applyFont="1" applyFill="1" applyBorder="1" applyAlignment="1">
      <alignment/>
      <protection/>
    </xf>
    <xf numFmtId="0" fontId="0" fillId="33" borderId="11" xfId="54" applyNumberFormat="1" applyFont="1" applyFill="1" applyBorder="1" applyAlignment="1">
      <alignment horizontal="center"/>
      <protection/>
    </xf>
    <xf numFmtId="9" fontId="9" fillId="34" borderId="11" xfId="54" applyNumberFormat="1" applyFont="1" applyFill="1" applyBorder="1" applyAlignment="1">
      <alignment horizontal="center"/>
      <protection/>
    </xf>
    <xf numFmtId="166" fontId="9" fillId="0" borderId="10" xfId="54" applyNumberFormat="1" applyFont="1" applyBorder="1" applyAlignment="1">
      <alignment/>
      <protection/>
    </xf>
    <xf numFmtId="0" fontId="0" fillId="0" borderId="11" xfId="54" applyNumberFormat="1" applyFont="1" applyBorder="1" applyAlignment="1">
      <alignment horizontal="center"/>
      <protection/>
    </xf>
    <xf numFmtId="9" fontId="0" fillId="34" borderId="11" xfId="54" applyNumberFormat="1" applyFont="1" applyFill="1" applyBorder="1" applyAlignment="1">
      <alignment horizontal="center"/>
      <protection/>
    </xf>
    <xf numFmtId="166" fontId="9" fillId="33" borderId="16" xfId="54" applyNumberFormat="1" applyFont="1" applyFill="1" applyBorder="1" applyAlignment="1">
      <alignment/>
      <protection/>
    </xf>
    <xf numFmtId="0" fontId="0" fillId="33" borderId="17" xfId="54" applyNumberFormat="1" applyFont="1" applyFill="1" applyBorder="1" applyAlignment="1">
      <alignment horizontal="center"/>
      <protection/>
    </xf>
    <xf numFmtId="9" fontId="9" fillId="34" borderId="17" xfId="54" applyNumberFormat="1" applyFont="1" applyFill="1" applyBorder="1" applyAlignment="1">
      <alignment horizontal="center"/>
      <protection/>
    </xf>
    <xf numFmtId="166" fontId="9" fillId="33" borderId="21" xfId="54" applyNumberFormat="1" applyFont="1" applyFill="1" applyBorder="1" applyAlignment="1">
      <alignment/>
      <protection/>
    </xf>
    <xf numFmtId="0" fontId="0" fillId="33" borderId="19" xfId="54" applyNumberFormat="1" applyFont="1" applyFill="1" applyBorder="1" applyAlignment="1">
      <alignment horizontal="center"/>
      <protection/>
    </xf>
    <xf numFmtId="166" fontId="0" fillId="0" borderId="10" xfId="54" applyNumberFormat="1" applyFont="1" applyBorder="1" applyAlignment="1">
      <alignment/>
      <protection/>
    </xf>
    <xf numFmtId="166" fontId="9" fillId="33" borderId="10" xfId="54" applyNumberFormat="1" applyFont="1" applyFill="1" applyBorder="1" applyAlignment="1">
      <alignment horizontal="center"/>
      <protection/>
    </xf>
    <xf numFmtId="4" fontId="9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0" fillId="0" borderId="0" xfId="53" applyNumberFormat="1" applyFont="1" applyAlignment="1">
      <alignment/>
      <protection/>
    </xf>
    <xf numFmtId="0" fontId="0" fillId="0" borderId="0" xfId="53">
      <alignment/>
      <protection/>
    </xf>
    <xf numFmtId="0" fontId="0" fillId="0" borderId="0" xfId="53" applyAlignment="1">
      <alignment/>
      <protection/>
    </xf>
    <xf numFmtId="0" fontId="7" fillId="0" borderId="0" xfId="53" applyNumberFormat="1" applyFont="1" applyAlignment="1">
      <alignment/>
      <protection/>
    </xf>
    <xf numFmtId="0" fontId="9" fillId="33" borderId="10" xfId="53" applyNumberFormat="1" applyFont="1" applyFill="1" applyBorder="1" applyAlignment="1">
      <alignment horizontal="center"/>
      <protection/>
    </xf>
    <xf numFmtId="0" fontId="9" fillId="33" borderId="11" xfId="53" applyNumberFormat="1" applyFont="1" applyFill="1" applyBorder="1" applyAlignment="1">
      <alignment horizontal="center"/>
      <protection/>
    </xf>
    <xf numFmtId="0" fontId="9" fillId="34" borderId="11" xfId="53" applyNumberFormat="1" applyFont="1" applyFill="1" applyBorder="1" applyAlignment="1">
      <alignment horizontal="center"/>
      <protection/>
    </xf>
    <xf numFmtId="0" fontId="0" fillId="0" borderId="0" xfId="53" applyBorder="1">
      <alignment/>
      <protection/>
    </xf>
    <xf numFmtId="0" fontId="9" fillId="33" borderId="13" xfId="53" applyNumberFormat="1" applyFont="1" applyFill="1" applyBorder="1" applyAlignment="1">
      <alignment horizontal="center"/>
      <protection/>
    </xf>
    <xf numFmtId="0" fontId="9" fillId="33" borderId="14" xfId="53" applyNumberFormat="1" applyFont="1" applyFill="1" applyBorder="1" applyAlignment="1">
      <alignment horizontal="center"/>
      <protection/>
    </xf>
    <xf numFmtId="0" fontId="9" fillId="34" borderId="14" xfId="53" applyNumberFormat="1" applyFont="1" applyFill="1" applyBorder="1" applyAlignment="1">
      <alignment horizontal="center"/>
      <protection/>
    </xf>
    <xf numFmtId="0" fontId="10" fillId="0" borderId="10" xfId="53" applyNumberFormat="1" applyFont="1" applyBorder="1" applyAlignment="1">
      <alignment horizontal="center"/>
      <protection/>
    </xf>
    <xf numFmtId="0" fontId="10" fillId="0" borderId="11" xfId="53" applyNumberFormat="1" applyFont="1" applyBorder="1" applyAlignment="1">
      <alignment horizontal="center"/>
      <protection/>
    </xf>
    <xf numFmtId="0" fontId="10" fillId="34" borderId="11" xfId="53" applyNumberFormat="1" applyFont="1" applyFill="1" applyBorder="1" applyAlignment="1">
      <alignment horizontal="center"/>
      <protection/>
    </xf>
    <xf numFmtId="166" fontId="9" fillId="0" borderId="13" xfId="53" applyNumberFormat="1" applyFont="1" applyBorder="1" applyAlignment="1">
      <alignment/>
      <protection/>
    </xf>
    <xf numFmtId="17" fontId="0" fillId="0" borderId="14" xfId="53" applyNumberFormat="1" applyFont="1" applyBorder="1" applyAlignment="1">
      <alignment horizontal="center"/>
      <protection/>
    </xf>
    <xf numFmtId="9" fontId="0" fillId="34" borderId="14" xfId="53" applyNumberFormat="1" applyFont="1" applyFill="1" applyBorder="1" applyAlignment="1">
      <alignment horizontal="center"/>
      <protection/>
    </xf>
    <xf numFmtId="166" fontId="0" fillId="0" borderId="13" xfId="53" applyNumberFormat="1" applyFont="1" applyBorder="1" applyAlignment="1">
      <alignment/>
      <protection/>
    </xf>
    <xf numFmtId="0" fontId="0" fillId="0" borderId="14" xfId="53" applyNumberFormat="1" applyFont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/>
      <protection/>
    </xf>
    <xf numFmtId="9" fontId="9" fillId="34" borderId="11" xfId="53" applyNumberFormat="1" applyFont="1" applyFill="1" applyBorder="1" applyAlignment="1">
      <alignment horizontal="center"/>
      <protection/>
    </xf>
    <xf numFmtId="166" fontId="0" fillId="0" borderId="10" xfId="53" applyNumberFormat="1" applyFont="1" applyBorder="1" applyAlignment="1">
      <alignment/>
      <protection/>
    </xf>
    <xf numFmtId="0" fontId="0" fillId="0" borderId="11" xfId="53" applyNumberFormat="1" applyFont="1" applyBorder="1" applyAlignment="1">
      <alignment horizontal="center"/>
      <protection/>
    </xf>
    <xf numFmtId="9" fontId="0" fillId="34" borderId="11" xfId="53" applyNumberFormat="1" applyFont="1" applyFill="1" applyBorder="1" applyAlignment="1">
      <alignment horizontal="center"/>
      <protection/>
    </xf>
    <xf numFmtId="166" fontId="9" fillId="33" borderId="16" xfId="53" applyNumberFormat="1" applyFont="1" applyFill="1" applyBorder="1" applyAlignment="1">
      <alignment/>
      <protection/>
    </xf>
    <xf numFmtId="0" fontId="9" fillId="33" borderId="17" xfId="53" applyNumberFormat="1" applyFont="1" applyFill="1" applyBorder="1" applyAlignment="1">
      <alignment horizontal="center"/>
      <protection/>
    </xf>
    <xf numFmtId="9" fontId="9" fillId="34" borderId="17" xfId="53" applyNumberFormat="1" applyFont="1" applyFill="1" applyBorder="1" applyAlignment="1">
      <alignment horizontal="center"/>
      <protection/>
    </xf>
    <xf numFmtId="0" fontId="9" fillId="0" borderId="13" xfId="53" applyNumberFormat="1" applyFont="1" applyBorder="1" applyAlignment="1">
      <alignment/>
      <protection/>
    </xf>
    <xf numFmtId="17" fontId="9" fillId="33" borderId="17" xfId="53" applyNumberFormat="1" applyFont="1" applyFill="1" applyBorder="1" applyAlignment="1">
      <alignment horizontal="center"/>
      <protection/>
    </xf>
    <xf numFmtId="0" fontId="0" fillId="0" borderId="14" xfId="53" applyBorder="1">
      <alignment/>
      <protection/>
    </xf>
    <xf numFmtId="0" fontId="0" fillId="34" borderId="14" xfId="53" applyFont="1" applyFill="1" applyBorder="1" applyAlignment="1">
      <alignment/>
      <protection/>
    </xf>
    <xf numFmtId="0" fontId="0" fillId="33" borderId="17" xfId="53" applyNumberFormat="1" applyFont="1" applyFill="1" applyBorder="1" applyAlignment="1">
      <alignment horizontal="center"/>
      <protection/>
    </xf>
    <xf numFmtId="166" fontId="9" fillId="33" borderId="21" xfId="53" applyNumberFormat="1" applyFont="1" applyFill="1" applyBorder="1" applyAlignment="1">
      <alignment/>
      <protection/>
    </xf>
    <xf numFmtId="0" fontId="9" fillId="33" borderId="19" xfId="53" applyNumberFormat="1" applyFont="1" applyFill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 horizontal="center"/>
      <protection/>
    </xf>
    <xf numFmtId="166" fontId="9" fillId="0" borderId="22" xfId="53" applyNumberFormat="1" applyFont="1" applyBorder="1" applyAlignment="1">
      <alignment/>
      <protection/>
    </xf>
    <xf numFmtId="0" fontId="9" fillId="0" borderId="22" xfId="53" applyNumberFormat="1" applyFont="1" applyBorder="1" applyAlignment="1">
      <alignment horizontal="center"/>
      <protection/>
    </xf>
    <xf numFmtId="4" fontId="9" fillId="0" borderId="22" xfId="53" applyNumberFormat="1" applyFont="1" applyBorder="1" applyAlignment="1">
      <alignment horizontal="center"/>
      <protection/>
    </xf>
    <xf numFmtId="0" fontId="12" fillId="0" borderId="0" xfId="53" applyNumberFormat="1" applyFont="1" applyAlignment="1">
      <alignment/>
      <protection/>
    </xf>
    <xf numFmtId="17" fontId="9" fillId="0" borderId="0" xfId="53" applyNumberFormat="1" applyFont="1" applyAlignment="1">
      <alignment horizontal="center"/>
      <protection/>
    </xf>
    <xf numFmtId="4" fontId="9" fillId="0" borderId="0" xfId="53" applyNumberFormat="1" applyFont="1" applyAlignment="1">
      <alignment horizontal="center"/>
      <protection/>
    </xf>
    <xf numFmtId="0" fontId="9" fillId="0" borderId="0" xfId="53" applyNumberFormat="1" applyFont="1" applyAlignment="1">
      <alignment/>
      <protection/>
    </xf>
    <xf numFmtId="3" fontId="0" fillId="0" borderId="0" xfId="0" applyNumberFormat="1" applyFont="1" applyAlignment="1">
      <alignment/>
    </xf>
    <xf numFmtId="3" fontId="8" fillId="33" borderId="11" xfId="0" applyNumberFormat="1" applyFont="1" applyFill="1" applyBorder="1" applyAlignment="1">
      <alignment horizontal="center"/>
    </xf>
    <xf numFmtId="3" fontId="8" fillId="33" borderId="14" xfId="0" applyNumberFormat="1" applyFont="1" applyFill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54" applyNumberFormat="1" applyFont="1" applyAlignment="1">
      <alignment/>
      <protection/>
    </xf>
    <xf numFmtId="3" fontId="9" fillId="33" borderId="11" xfId="54" applyNumberFormat="1" applyFont="1" applyFill="1" applyBorder="1" applyAlignment="1">
      <alignment horizontal="center"/>
      <protection/>
    </xf>
    <xf numFmtId="3" fontId="9" fillId="33" borderId="25" xfId="54" applyNumberFormat="1" applyFont="1" applyFill="1" applyBorder="1" applyAlignment="1">
      <alignment horizontal="center"/>
      <protection/>
    </xf>
    <xf numFmtId="3" fontId="10" fillId="0" borderId="14" xfId="54" applyNumberFormat="1" applyFont="1" applyBorder="1" applyAlignment="1">
      <alignment horizontal="center"/>
      <protection/>
    </xf>
    <xf numFmtId="3" fontId="0" fillId="0" borderId="14" xfId="54" applyNumberFormat="1" applyFont="1" applyBorder="1" applyAlignment="1">
      <alignment horizontal="center"/>
      <protection/>
    </xf>
    <xf numFmtId="3" fontId="0" fillId="0" borderId="11" xfId="54" applyNumberFormat="1" applyFont="1" applyBorder="1" applyAlignment="1">
      <alignment horizontal="center"/>
      <protection/>
    </xf>
    <xf numFmtId="3" fontId="9" fillId="33" borderId="17" xfId="54" applyNumberFormat="1" applyFont="1" applyFill="1" applyBorder="1" applyAlignment="1">
      <alignment horizontal="center"/>
      <protection/>
    </xf>
    <xf numFmtId="3" fontId="9" fillId="33" borderId="19" xfId="54" applyNumberFormat="1" applyFont="1" applyFill="1" applyBorder="1" applyAlignment="1">
      <alignment horizontal="center"/>
      <protection/>
    </xf>
    <xf numFmtId="3" fontId="9" fillId="0" borderId="0" xfId="54" applyNumberFormat="1" applyFont="1" applyAlignment="1">
      <alignment/>
      <protection/>
    </xf>
    <xf numFmtId="3" fontId="0" fillId="0" borderId="0" xfId="54" applyNumberFormat="1" applyAlignment="1">
      <alignment/>
      <protection/>
    </xf>
    <xf numFmtId="167" fontId="0" fillId="0" borderId="0" xfId="54" applyNumberFormat="1" applyFont="1" applyAlignment="1">
      <alignment/>
      <protection/>
    </xf>
    <xf numFmtId="167" fontId="9" fillId="0" borderId="0" xfId="54" applyNumberFormat="1" applyFont="1" applyAlignment="1">
      <alignment horizontal="center"/>
      <protection/>
    </xf>
    <xf numFmtId="167" fontId="9" fillId="33" borderId="11" xfId="54" applyNumberFormat="1" applyFont="1" applyFill="1" applyBorder="1" applyAlignment="1">
      <alignment horizontal="center"/>
      <protection/>
    </xf>
    <xf numFmtId="167" fontId="9" fillId="33" borderId="26" xfId="54" applyNumberFormat="1" applyFont="1" applyFill="1" applyBorder="1" applyAlignment="1">
      <alignment horizontal="center"/>
      <protection/>
    </xf>
    <xf numFmtId="167" fontId="10" fillId="0" borderId="15" xfId="54" applyNumberFormat="1" applyFont="1" applyBorder="1" applyAlignment="1">
      <alignment horizontal="center"/>
      <protection/>
    </xf>
    <xf numFmtId="167" fontId="0" fillId="0" borderId="14" xfId="54" applyNumberFormat="1" applyFont="1" applyBorder="1" applyAlignment="1">
      <alignment horizontal="center"/>
      <protection/>
    </xf>
    <xf numFmtId="167" fontId="0" fillId="0" borderId="11" xfId="54" applyNumberFormat="1" applyFont="1" applyBorder="1" applyAlignment="1">
      <alignment horizontal="center"/>
      <protection/>
    </xf>
    <xf numFmtId="167" fontId="9" fillId="33" borderId="18" xfId="54" applyNumberFormat="1" applyFont="1" applyFill="1" applyBorder="1" applyAlignment="1">
      <alignment horizontal="center"/>
      <protection/>
    </xf>
    <xf numFmtId="167" fontId="0" fillId="0" borderId="15" xfId="54" applyNumberFormat="1" applyFont="1" applyBorder="1" applyAlignment="1">
      <alignment horizontal="center"/>
      <protection/>
    </xf>
    <xf numFmtId="167" fontId="0" fillId="0" borderId="12" xfId="54" applyNumberFormat="1" applyFont="1" applyBorder="1" applyAlignment="1">
      <alignment horizontal="center"/>
      <protection/>
    </xf>
    <xf numFmtId="167" fontId="9" fillId="0" borderId="0" xfId="54" applyNumberFormat="1" applyFont="1" applyAlignment="1">
      <alignment/>
      <protection/>
    </xf>
    <xf numFmtId="167" fontId="0" fillId="0" borderId="0" xfId="54" applyNumberFormat="1" applyAlignment="1">
      <alignment/>
      <protection/>
    </xf>
    <xf numFmtId="3" fontId="0" fillId="0" borderId="0" xfId="53" applyNumberFormat="1" applyFont="1" applyAlignment="1">
      <alignment/>
      <protection/>
    </xf>
    <xf numFmtId="3" fontId="9" fillId="33" borderId="11" xfId="53" applyNumberFormat="1" applyFont="1" applyFill="1" applyBorder="1" applyAlignment="1">
      <alignment horizontal="center"/>
      <protection/>
    </xf>
    <xf numFmtId="3" fontId="9" fillId="33" borderId="14" xfId="53" applyNumberFormat="1" applyFont="1" applyFill="1" applyBorder="1" applyAlignment="1">
      <alignment horizontal="center"/>
      <protection/>
    </xf>
    <xf numFmtId="3" fontId="10" fillId="0" borderId="11" xfId="53" applyNumberFormat="1" applyFont="1" applyBorder="1" applyAlignment="1">
      <alignment horizontal="center"/>
      <protection/>
    </xf>
    <xf numFmtId="3" fontId="0" fillId="0" borderId="14" xfId="53" applyNumberFormat="1" applyFont="1" applyBorder="1" applyAlignment="1">
      <alignment horizontal="center"/>
      <protection/>
    </xf>
    <xf numFmtId="3" fontId="0" fillId="0" borderId="11" xfId="53" applyNumberFormat="1" applyFont="1" applyBorder="1" applyAlignment="1">
      <alignment horizontal="center"/>
      <protection/>
    </xf>
    <xf numFmtId="3" fontId="9" fillId="33" borderId="17" xfId="53" applyNumberFormat="1" applyFont="1" applyFill="1" applyBorder="1" applyAlignment="1">
      <alignment horizontal="center"/>
      <protection/>
    </xf>
    <xf numFmtId="3" fontId="0" fillId="0" borderId="14" xfId="53" applyNumberFormat="1" applyBorder="1">
      <alignment/>
      <protection/>
    </xf>
    <xf numFmtId="3" fontId="9" fillId="33" borderId="19" xfId="53" applyNumberFormat="1" applyFont="1" applyFill="1" applyBorder="1" applyAlignment="1">
      <alignment horizontal="center"/>
      <protection/>
    </xf>
    <xf numFmtId="3" fontId="9" fillId="0" borderId="22" xfId="53" applyNumberFormat="1" applyFont="1" applyBorder="1" applyAlignment="1">
      <alignment horizontal="center"/>
      <protection/>
    </xf>
    <xf numFmtId="3" fontId="9" fillId="0" borderId="0" xfId="53" applyNumberFormat="1" applyFont="1" applyAlignment="1">
      <alignment horizontal="center"/>
      <protection/>
    </xf>
    <xf numFmtId="3" fontId="0" fillId="0" borderId="0" xfId="53" applyNumberFormat="1" applyAlignment="1">
      <alignment/>
      <protection/>
    </xf>
    <xf numFmtId="167" fontId="0" fillId="0" borderId="0" xfId="53" applyNumberFormat="1" applyFont="1" applyAlignment="1">
      <alignment/>
      <protection/>
    </xf>
    <xf numFmtId="167" fontId="9" fillId="0" borderId="0" xfId="53" applyNumberFormat="1" applyFont="1" applyAlignment="1">
      <alignment horizontal="centerContinuous"/>
      <protection/>
    </xf>
    <xf numFmtId="167" fontId="9" fillId="33" borderId="11" xfId="53" applyNumberFormat="1" applyFont="1" applyFill="1" applyBorder="1" applyAlignment="1">
      <alignment horizontal="center"/>
      <protection/>
    </xf>
    <xf numFmtId="167" fontId="9" fillId="33" borderId="12" xfId="53" applyNumberFormat="1" applyFont="1" applyFill="1" applyBorder="1" applyAlignment="1">
      <alignment horizontal="center"/>
      <protection/>
    </xf>
    <xf numFmtId="167" fontId="9" fillId="33" borderId="14" xfId="53" applyNumberFormat="1" applyFont="1" applyFill="1" applyBorder="1" applyAlignment="1">
      <alignment horizontal="center"/>
      <protection/>
    </xf>
    <xf numFmtId="167" fontId="10" fillId="0" borderId="11" xfId="53" applyNumberFormat="1" applyFont="1" applyBorder="1" applyAlignment="1">
      <alignment horizontal="center"/>
      <protection/>
    </xf>
    <xf numFmtId="167" fontId="10" fillId="0" borderId="12" xfId="53" applyNumberFormat="1" applyFont="1" applyBorder="1" applyAlignment="1">
      <alignment horizontal="center"/>
      <protection/>
    </xf>
    <xf numFmtId="167" fontId="0" fillId="0" borderId="14" xfId="53" applyNumberFormat="1" applyFont="1" applyBorder="1" applyAlignment="1">
      <alignment horizontal="center"/>
      <protection/>
    </xf>
    <xf numFmtId="167" fontId="0" fillId="0" borderId="15" xfId="53" applyNumberFormat="1" applyFont="1" applyBorder="1" applyAlignment="1">
      <alignment horizontal="center"/>
      <protection/>
    </xf>
    <xf numFmtId="167" fontId="0" fillId="0" borderId="11" xfId="53" applyNumberFormat="1" applyFont="1" applyBorder="1" applyAlignment="1">
      <alignment horizontal="center"/>
      <protection/>
    </xf>
    <xf numFmtId="167" fontId="0" fillId="0" borderId="12" xfId="53" applyNumberFormat="1" applyFont="1" applyBorder="1" applyAlignment="1">
      <alignment horizontal="center"/>
      <protection/>
    </xf>
    <xf numFmtId="167" fontId="9" fillId="33" borderId="17" xfId="53" applyNumberFormat="1" applyFont="1" applyFill="1" applyBorder="1" applyAlignment="1">
      <alignment horizontal="center"/>
      <protection/>
    </xf>
    <xf numFmtId="167" fontId="9" fillId="33" borderId="18" xfId="53" applyNumberFormat="1" applyFont="1" applyFill="1" applyBorder="1" applyAlignment="1">
      <alignment horizontal="center"/>
      <protection/>
    </xf>
    <xf numFmtId="167" fontId="0" fillId="0" borderId="14" xfId="53" applyNumberFormat="1" applyBorder="1">
      <alignment/>
      <protection/>
    </xf>
    <xf numFmtId="167" fontId="0" fillId="0" borderId="15" xfId="53" applyNumberFormat="1" applyBorder="1">
      <alignment/>
      <protection/>
    </xf>
    <xf numFmtId="167" fontId="9" fillId="33" borderId="19" xfId="53" applyNumberFormat="1" applyFont="1" applyFill="1" applyBorder="1" applyAlignment="1">
      <alignment horizontal="center"/>
      <protection/>
    </xf>
    <xf numFmtId="167" fontId="9" fillId="0" borderId="22" xfId="53" applyNumberFormat="1" applyFont="1" applyBorder="1" applyAlignment="1">
      <alignment horizontal="center"/>
      <protection/>
    </xf>
    <xf numFmtId="167" fontId="9" fillId="0" borderId="0" xfId="53" applyNumberFormat="1" applyFont="1" applyAlignment="1">
      <alignment horizontal="center"/>
      <protection/>
    </xf>
    <xf numFmtId="167" fontId="0" fillId="0" borderId="0" xfId="53" applyNumberFormat="1" applyAlignment="1">
      <alignment/>
      <protection/>
    </xf>
    <xf numFmtId="167" fontId="9" fillId="33" borderId="12" xfId="53" applyNumberFormat="1" applyFont="1" applyFill="1" applyBorder="1" applyAlignment="1">
      <alignment/>
      <protection/>
    </xf>
    <xf numFmtId="167" fontId="9" fillId="33" borderId="15" xfId="53" applyNumberFormat="1" applyFont="1" applyFill="1" applyBorder="1" applyAlignment="1">
      <alignment/>
      <protection/>
    </xf>
    <xf numFmtId="166" fontId="9" fillId="0" borderId="27" xfId="54" applyNumberFormat="1" applyFont="1" applyBorder="1" applyAlignment="1">
      <alignment/>
      <protection/>
    </xf>
    <xf numFmtId="166" fontId="9" fillId="0" borderId="0" xfId="53" applyNumberFormat="1" applyFont="1" applyBorder="1" applyAlignment="1">
      <alignment/>
      <protection/>
    </xf>
    <xf numFmtId="167" fontId="9" fillId="0" borderId="0" xfId="53" applyNumberFormat="1" applyFont="1" applyBorder="1" applyAlignment="1">
      <alignment horizontal="center"/>
      <protection/>
    </xf>
    <xf numFmtId="0" fontId="9" fillId="0" borderId="0" xfId="53" applyNumberFormat="1" applyFont="1" applyBorder="1" applyAlignment="1">
      <alignment horizontal="center"/>
      <protection/>
    </xf>
    <xf numFmtId="3" fontId="9" fillId="0" borderId="0" xfId="53" applyNumberFormat="1" applyFont="1" applyBorder="1" applyAlignment="1">
      <alignment horizontal="center"/>
      <protection/>
    </xf>
    <xf numFmtId="4" fontId="9" fillId="0" borderId="0" xfId="53" applyNumberFormat="1" applyFont="1" applyBorder="1" applyAlignment="1">
      <alignment horizontal="center"/>
      <protection/>
    </xf>
    <xf numFmtId="3" fontId="9" fillId="33" borderId="20" xfId="54" applyNumberFormat="1" applyFont="1" applyFill="1" applyBorder="1" applyAlignment="1">
      <alignment horizontal="center"/>
      <protection/>
    </xf>
    <xf numFmtId="3" fontId="9" fillId="33" borderId="28" xfId="54" applyNumberFormat="1" applyFont="1" applyFill="1" applyBorder="1" applyAlignment="1">
      <alignment horizontal="center"/>
      <protection/>
    </xf>
    <xf numFmtId="166" fontId="12" fillId="0" borderId="0" xfId="54" applyNumberFormat="1" applyFont="1" applyAlignment="1">
      <alignment/>
      <protection/>
    </xf>
    <xf numFmtId="166" fontId="12" fillId="0" borderId="0" xfId="0" applyNumberFormat="1" applyFont="1" applyAlignment="1">
      <alignment/>
    </xf>
    <xf numFmtId="166" fontId="9" fillId="33" borderId="16" xfId="54" applyNumberFormat="1" applyFont="1" applyFill="1" applyBorder="1" applyAlignment="1">
      <alignment horizontal="center"/>
      <protection/>
    </xf>
    <xf numFmtId="0" fontId="9" fillId="33" borderId="17" xfId="54" applyNumberFormat="1" applyFont="1" applyFill="1" applyBorder="1" applyAlignment="1">
      <alignment horizontal="center"/>
      <protection/>
    </xf>
    <xf numFmtId="167" fontId="9" fillId="33" borderId="29" xfId="54" applyNumberFormat="1" applyFont="1" applyFill="1" applyBorder="1" applyAlignment="1">
      <alignment horizontal="center"/>
      <protection/>
    </xf>
    <xf numFmtId="9" fontId="9" fillId="34" borderId="19" xfId="54" applyNumberFormat="1" applyFont="1" applyFill="1" applyBorder="1" applyAlignment="1">
      <alignment horizontal="center"/>
      <protection/>
    </xf>
    <xf numFmtId="9" fontId="9" fillId="34" borderId="30" xfId="54" applyNumberFormat="1" applyFont="1" applyFill="1" applyBorder="1" applyAlignment="1">
      <alignment horizontal="center"/>
      <protection/>
    </xf>
    <xf numFmtId="167" fontId="9" fillId="33" borderId="29" xfId="53" applyNumberFormat="1" applyFont="1" applyFill="1" applyBorder="1" applyAlignment="1">
      <alignment horizontal="center"/>
      <protection/>
    </xf>
    <xf numFmtId="3" fontId="9" fillId="33" borderId="20" xfId="53" applyNumberFormat="1" applyFont="1" applyFill="1" applyBorder="1" applyAlignment="1">
      <alignment horizontal="center"/>
      <protection/>
    </xf>
    <xf numFmtId="9" fontId="9" fillId="34" borderId="19" xfId="53" applyNumberFormat="1" applyFont="1" applyFill="1" applyBorder="1" applyAlignment="1">
      <alignment horizontal="center"/>
      <protection/>
    </xf>
    <xf numFmtId="166" fontId="9" fillId="33" borderId="13" xfId="0" applyNumberFormat="1" applyFont="1" applyFill="1" applyBorder="1" applyAlignment="1">
      <alignment/>
    </xf>
    <xf numFmtId="166" fontId="9" fillId="0" borderId="13" xfId="0" applyNumberFormat="1" applyFont="1" applyBorder="1" applyAlignment="1">
      <alignment/>
    </xf>
    <xf numFmtId="0" fontId="10" fillId="34" borderId="13" xfId="55" applyFont="1" applyFill="1" applyBorder="1" applyAlignment="1">
      <alignment horizontal="center"/>
      <protection/>
    </xf>
    <xf numFmtId="0" fontId="9" fillId="34" borderId="13" xfId="55" applyFont="1" applyFill="1" applyBorder="1" applyAlignment="1">
      <alignment horizontal="center"/>
      <protection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9" fontId="9" fillId="34" borderId="11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0" fontId="11" fillId="0" borderId="0" xfId="55" applyFont="1" applyAlignment="1">
      <alignment/>
      <protection/>
    </xf>
    <xf numFmtId="0" fontId="6" fillId="0" borderId="0" xfId="54" applyNumberFormat="1" applyFont="1" applyAlignment="1">
      <alignment/>
      <protection/>
    </xf>
    <xf numFmtId="0" fontId="13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13" fillId="0" borderId="0" xfId="53" applyNumberFormat="1" applyFont="1" applyAlignment="1">
      <alignment/>
      <protection/>
    </xf>
    <xf numFmtId="4" fontId="0" fillId="0" borderId="0" xfId="55" applyNumberFormat="1" applyFont="1" applyBorder="1" applyAlignment="1">
      <alignment horizontal="center"/>
      <protection/>
    </xf>
    <xf numFmtId="4" fontId="14" fillId="0" borderId="0" xfId="55" applyNumberFormat="1" applyFont="1" applyBorder="1" applyAlignment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SLOT STATS" xfId="53"/>
    <cellStyle name="Normal_TABLE STATS" xfId="54"/>
    <cellStyle name="Normal_YTD TAXES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7"/>
  <sheetViews>
    <sheetView tabSelected="1" showOutlineSymbols="0" workbookViewId="0" topLeftCell="A1">
      <selection activeCell="A5" sqref="A5"/>
    </sheetView>
  </sheetViews>
  <sheetFormatPr defaultColWidth="9.6640625" defaultRowHeight="15"/>
  <cols>
    <col min="1" max="1" width="22.44531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 customWidth="1"/>
  </cols>
  <sheetData>
    <row r="1" spans="1:18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>
      <c r="A2" s="4" t="s">
        <v>68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>
      <c r="A3" s="277" t="s">
        <v>69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ht="15">
      <c r="A4" s="278" t="s">
        <v>70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>
      <c r="A9" s="19" t="s">
        <v>13</v>
      </c>
      <c r="B9" s="20">
        <f>DATE(2017,7,1)</f>
        <v>42917</v>
      </c>
      <c r="C9" s="21">
        <v>295047</v>
      </c>
      <c r="D9" s="22">
        <v>315719</v>
      </c>
      <c r="E9" s="23">
        <f>(+C9-D9)/D9</f>
        <v>-0.06547594538181103</v>
      </c>
      <c r="F9" s="21">
        <f>+C9-138811</f>
        <v>156236</v>
      </c>
      <c r="G9" s="21">
        <f>+D9-154398</f>
        <v>161321</v>
      </c>
      <c r="H9" s="23">
        <f>(+F9-G9)/G9</f>
        <v>-0.031521004704905126</v>
      </c>
      <c r="I9" s="24">
        <f>K9/C9</f>
        <v>47.93787274569814</v>
      </c>
      <c r="J9" s="24">
        <f>K9/F9</f>
        <v>90.52923487544483</v>
      </c>
      <c r="K9" s="21">
        <v>14143925.54</v>
      </c>
      <c r="L9" s="21">
        <v>13957245.75</v>
      </c>
      <c r="M9" s="25">
        <f>(+K9-L9)/L9</f>
        <v>0.013375116648641019</v>
      </c>
      <c r="N9" s="10"/>
      <c r="R9" s="2"/>
    </row>
    <row r="10" spans="1:18" ht="15.75">
      <c r="A10" s="19"/>
      <c r="B10" s="20">
        <f>DATE(2017,8,1)</f>
        <v>42948</v>
      </c>
      <c r="C10" s="21">
        <v>268688</v>
      </c>
      <c r="D10" s="22">
        <v>269746</v>
      </c>
      <c r="E10" s="23">
        <f>(+C10-D10)/D10</f>
        <v>-0.00392220829965968</v>
      </c>
      <c r="F10" s="21">
        <f>+C10-125473</f>
        <v>143215</v>
      </c>
      <c r="G10" s="21">
        <f>+D10-128416</f>
        <v>141330</v>
      </c>
      <c r="H10" s="23">
        <f>(+F10-G10)/G10</f>
        <v>0.013337578716479162</v>
      </c>
      <c r="I10" s="24">
        <f>K10/C10</f>
        <v>48.38335742571309</v>
      </c>
      <c r="J10" s="24">
        <f>K10/F10</f>
        <v>90.7728068987187</v>
      </c>
      <c r="K10" s="21">
        <v>13000027.54</v>
      </c>
      <c r="L10" s="21">
        <v>12325415.85</v>
      </c>
      <c r="M10" s="25">
        <f>(+K10-L10)/L10</f>
        <v>0.05473338167328443</v>
      </c>
      <c r="N10" s="10"/>
      <c r="R10" s="2"/>
    </row>
    <row r="11" spans="1:18" ht="15.75">
      <c r="A11" s="19"/>
      <c r="B11" s="20">
        <f>DATE(2017,9,1)</f>
        <v>42979</v>
      </c>
      <c r="C11" s="21">
        <v>280816</v>
      </c>
      <c r="D11" s="22">
        <v>275432</v>
      </c>
      <c r="E11" s="23">
        <f>(+C11-D11)/D11</f>
        <v>0.019547474512765402</v>
      </c>
      <c r="F11" s="21">
        <f>+C11-133848</f>
        <v>146968</v>
      </c>
      <c r="G11" s="21">
        <f>+D11-130069</f>
        <v>145363</v>
      </c>
      <c r="H11" s="23">
        <f>(+F11-G11)/G11</f>
        <v>0.011041324133376444</v>
      </c>
      <c r="I11" s="24">
        <f>K11/C11</f>
        <v>48.34897972337758</v>
      </c>
      <c r="J11" s="24">
        <f>K11/F11</f>
        <v>92.38179120624898</v>
      </c>
      <c r="K11" s="21">
        <v>13577167.09</v>
      </c>
      <c r="L11" s="21">
        <v>12483472.22</v>
      </c>
      <c r="M11" s="25">
        <f>(+K11-L11)/L11</f>
        <v>0.08761143139708923</v>
      </c>
      <c r="N11" s="10"/>
      <c r="R11" s="2"/>
    </row>
    <row r="12" spans="1:18" ht="15.75">
      <c r="A12" s="19"/>
      <c r="B12" s="20">
        <f>DATE(2017,10,1)</f>
        <v>43009</v>
      </c>
      <c r="C12" s="21">
        <v>266813</v>
      </c>
      <c r="D12" s="22">
        <v>279310</v>
      </c>
      <c r="E12" s="23">
        <f>(+C12-D12)/D12</f>
        <v>-0.04474240091654434</v>
      </c>
      <c r="F12" s="21">
        <f>+C12-124457</f>
        <v>142356</v>
      </c>
      <c r="G12" s="21">
        <f>+D12-132516</f>
        <v>146794</v>
      </c>
      <c r="H12" s="23">
        <f>(+F12-G12)/G12</f>
        <v>-0.030232843304222243</v>
      </c>
      <c r="I12" s="24">
        <f>K12/C12</f>
        <v>49.51069921630505</v>
      </c>
      <c r="J12" s="24">
        <f>K12/F12</f>
        <v>92.79621645733232</v>
      </c>
      <c r="K12" s="21">
        <v>13210098.19</v>
      </c>
      <c r="L12" s="21">
        <v>12897991.17</v>
      </c>
      <c r="M12" s="25">
        <f>(+K12-L12)/L12</f>
        <v>0.024198110844264095</v>
      </c>
      <c r="N12" s="10"/>
      <c r="R12" s="2"/>
    </row>
    <row r="13" spans="1:18" ht="15.75">
      <c r="A13" s="19"/>
      <c r="B13" s="20">
        <f>DATE(2017,11,1)</f>
        <v>43040</v>
      </c>
      <c r="C13" s="21">
        <v>271175</v>
      </c>
      <c r="D13" s="22">
        <v>261597</v>
      </c>
      <c r="E13" s="23">
        <f>(+C13-D13)/D13</f>
        <v>0.03661356972748159</v>
      </c>
      <c r="F13" s="21">
        <f>+C13-126340</f>
        <v>144835</v>
      </c>
      <c r="G13" s="21">
        <f>+D13-124698</f>
        <v>136899</v>
      </c>
      <c r="H13" s="23">
        <f>(+F13-G13)/G13</f>
        <v>0.05796974411792635</v>
      </c>
      <c r="I13" s="24">
        <f>K13/C13</f>
        <v>52.1944138287084</v>
      </c>
      <c r="J13" s="24">
        <f>K13/F13</f>
        <v>97.7237557910726</v>
      </c>
      <c r="K13" s="21">
        <v>14153820.17</v>
      </c>
      <c r="L13" s="21">
        <v>12213621.49</v>
      </c>
      <c r="M13" s="25">
        <f>(+K13-L13)/L13</f>
        <v>0.15885531425618132</v>
      </c>
      <c r="N13" s="10"/>
      <c r="R13" s="2"/>
    </row>
    <row r="14" spans="1:18" ht="15.75" customHeight="1" thickBot="1">
      <c r="A14" s="19"/>
      <c r="B14" s="20"/>
      <c r="C14" s="21"/>
      <c r="D14" s="21"/>
      <c r="E14" s="23"/>
      <c r="F14" s="21"/>
      <c r="G14" s="21"/>
      <c r="H14" s="23"/>
      <c r="I14" s="24"/>
      <c r="J14" s="24"/>
      <c r="K14" s="21"/>
      <c r="L14" s="21"/>
      <c r="M14" s="25"/>
      <c r="N14" s="10"/>
      <c r="R14" s="2"/>
    </row>
    <row r="15" spans="1:18" ht="17.25" thickBot="1" thickTop="1">
      <c r="A15" s="26" t="s">
        <v>14</v>
      </c>
      <c r="B15" s="27"/>
      <c r="C15" s="28">
        <f>SUM(C9:C14)</f>
        <v>1382539</v>
      </c>
      <c r="D15" s="28">
        <f>SUM(D9:D14)</f>
        <v>1401804</v>
      </c>
      <c r="E15" s="279">
        <f>(+C15-D15)/D15</f>
        <v>-0.01374300544155959</v>
      </c>
      <c r="F15" s="28">
        <f>SUM(F9:F14)</f>
        <v>733610</v>
      </c>
      <c r="G15" s="28">
        <f>SUM(G9:G14)</f>
        <v>731707</v>
      </c>
      <c r="H15" s="30">
        <f>(+F15-G15)/G15</f>
        <v>0.002600767793666044</v>
      </c>
      <c r="I15" s="31">
        <f>K15/C15</f>
        <v>49.246378243217734</v>
      </c>
      <c r="J15" s="31">
        <f>K15/F15</f>
        <v>92.80822034868663</v>
      </c>
      <c r="K15" s="28">
        <f>SUM(K9:K14)</f>
        <v>68085038.53</v>
      </c>
      <c r="L15" s="28">
        <f>SUM(L9:L14)</f>
        <v>63877746.480000004</v>
      </c>
      <c r="M15" s="32">
        <f>(+K15-L15)/L15</f>
        <v>0.0658647538750806</v>
      </c>
      <c r="N15" s="10"/>
      <c r="R15" s="2"/>
    </row>
    <row r="16" spans="1:18" ht="15.75" customHeight="1" thickTop="1">
      <c r="A16" s="15"/>
      <c r="B16" s="16"/>
      <c r="C16" s="16"/>
      <c r="D16" s="16"/>
      <c r="E16" s="17"/>
      <c r="F16" s="16"/>
      <c r="G16" s="16"/>
      <c r="H16" s="17"/>
      <c r="I16" s="16"/>
      <c r="J16" s="16"/>
      <c r="K16" s="195"/>
      <c r="L16" s="195"/>
      <c r="M16" s="18"/>
      <c r="N16" s="10"/>
      <c r="R16" s="2"/>
    </row>
    <row r="17" spans="1:18" ht="15.75">
      <c r="A17" s="19" t="s">
        <v>15</v>
      </c>
      <c r="B17" s="20">
        <f>DATE(2017,7,1)</f>
        <v>42917</v>
      </c>
      <c r="C17" s="21">
        <v>154485</v>
      </c>
      <c r="D17" s="21">
        <v>168156</v>
      </c>
      <c r="E17" s="23">
        <f>(+C17-D17)/D17</f>
        <v>-0.08129950760008564</v>
      </c>
      <c r="F17" s="21">
        <f>+C17-74453</f>
        <v>80032</v>
      </c>
      <c r="G17" s="21">
        <f>+D17-80472</f>
        <v>87684</v>
      </c>
      <c r="H17" s="23">
        <f>(+F17-G17)/G17</f>
        <v>-0.08726791660964373</v>
      </c>
      <c r="I17" s="24">
        <f>K17/C17</f>
        <v>48.31362404116904</v>
      </c>
      <c r="J17" s="24">
        <f>K17/F17</f>
        <v>93.25932389544182</v>
      </c>
      <c r="K17" s="21">
        <v>7463730.21</v>
      </c>
      <c r="L17" s="21">
        <v>7571219.54</v>
      </c>
      <c r="M17" s="25">
        <f>(+K17-L17)/L17</f>
        <v>-0.014197095914616693</v>
      </c>
      <c r="N17" s="10"/>
      <c r="R17" s="2"/>
    </row>
    <row r="18" spans="1:18" ht="15.75">
      <c r="A18" s="19"/>
      <c r="B18" s="20">
        <f>DATE(2017,8,1)</f>
        <v>42948</v>
      </c>
      <c r="C18" s="21">
        <v>146885</v>
      </c>
      <c r="D18" s="21">
        <v>156736</v>
      </c>
      <c r="E18" s="23">
        <f>(+C18-D18)/D18</f>
        <v>-0.06285090853409554</v>
      </c>
      <c r="F18" s="21">
        <f>+C18-69501</f>
        <v>77384</v>
      </c>
      <c r="G18" s="21">
        <f>+D18-73885</f>
        <v>82851</v>
      </c>
      <c r="H18" s="23">
        <f>(+F18-G18)/G18</f>
        <v>-0.0659859265428299</v>
      </c>
      <c r="I18" s="24">
        <f>K18/C18</f>
        <v>46.88712468938285</v>
      </c>
      <c r="J18" s="24">
        <f>K18/F18</f>
        <v>88.99792347255246</v>
      </c>
      <c r="K18" s="21">
        <v>6887015.31</v>
      </c>
      <c r="L18" s="21">
        <v>6873490.36</v>
      </c>
      <c r="M18" s="25">
        <f>(+K18-L18)/L18</f>
        <v>0.0019676975294396506</v>
      </c>
      <c r="N18" s="10"/>
      <c r="R18" s="2"/>
    </row>
    <row r="19" spans="1:18" ht="15.75">
      <c r="A19" s="19"/>
      <c r="B19" s="20">
        <f>DATE(2017,9,1)</f>
        <v>42979</v>
      </c>
      <c r="C19" s="21">
        <v>147791</v>
      </c>
      <c r="D19" s="21">
        <v>155294</v>
      </c>
      <c r="E19" s="23">
        <f>(+C19-D19)/D19</f>
        <v>-0.04831480932940101</v>
      </c>
      <c r="F19" s="21">
        <f>+C19-70004</f>
        <v>77787</v>
      </c>
      <c r="G19" s="21">
        <f>+D19-73977</f>
        <v>81317</v>
      </c>
      <c r="H19" s="23">
        <f>(+F19-G19)/G19</f>
        <v>-0.043410356997921715</v>
      </c>
      <c r="I19" s="24">
        <f>K19/C19</f>
        <v>45.22004107151315</v>
      </c>
      <c r="J19" s="24">
        <f>K19/F19</f>
        <v>85.91557831000038</v>
      </c>
      <c r="K19" s="21">
        <v>6683115.09</v>
      </c>
      <c r="L19" s="21">
        <v>6937402.96</v>
      </c>
      <c r="M19" s="25">
        <f>(+K19-L19)/L19</f>
        <v>-0.036654620102967196</v>
      </c>
      <c r="N19" s="10"/>
      <c r="R19" s="2"/>
    </row>
    <row r="20" spans="1:18" ht="15.75">
      <c r="A20" s="19"/>
      <c r="B20" s="20">
        <f>DATE(2017,10,1)</f>
        <v>43009</v>
      </c>
      <c r="C20" s="21">
        <v>137700</v>
      </c>
      <c r="D20" s="21">
        <v>146527</v>
      </c>
      <c r="E20" s="23">
        <f>(+C20-D20)/D20</f>
        <v>-0.0602414572058392</v>
      </c>
      <c r="F20" s="21">
        <f>+C20-65646</f>
        <v>72054</v>
      </c>
      <c r="G20" s="21">
        <f>+D20-70123</f>
        <v>76404</v>
      </c>
      <c r="H20" s="23">
        <f>(+F20-G20)/G20</f>
        <v>-0.056934191927124234</v>
      </c>
      <c r="I20" s="24">
        <f>K20/C20</f>
        <v>45.38843761801017</v>
      </c>
      <c r="J20" s="24">
        <f>K20/F20</f>
        <v>86.7403316956727</v>
      </c>
      <c r="K20" s="21">
        <v>6249987.86</v>
      </c>
      <c r="L20" s="21">
        <v>6669801.07</v>
      </c>
      <c r="M20" s="25">
        <f>(+K20-L20)/L20</f>
        <v>-0.06294238847516331</v>
      </c>
      <c r="N20" s="10"/>
      <c r="R20" s="2"/>
    </row>
    <row r="21" spans="1:18" ht="15.75">
      <c r="A21" s="19"/>
      <c r="B21" s="20">
        <f>DATE(2017,11,1)</f>
        <v>43040</v>
      </c>
      <c r="C21" s="21">
        <v>128271</v>
      </c>
      <c r="D21" s="21">
        <v>141072</v>
      </c>
      <c r="E21" s="23">
        <f>(+C21-D21)/D21</f>
        <v>-0.09074089826471589</v>
      </c>
      <c r="F21" s="21">
        <f>+C21-61249</f>
        <v>67022</v>
      </c>
      <c r="G21" s="21">
        <f>+D21-67057</f>
        <v>74015</v>
      </c>
      <c r="H21" s="23">
        <f>(+F21-G21)/G21</f>
        <v>-0.09448084847666013</v>
      </c>
      <c r="I21" s="24">
        <f>K21/C21</f>
        <v>49.124400449049276</v>
      </c>
      <c r="J21" s="24">
        <f>K21/F21</f>
        <v>94.0174266658709</v>
      </c>
      <c r="K21" s="21">
        <v>6301235.97</v>
      </c>
      <c r="L21" s="21">
        <v>6463132.7</v>
      </c>
      <c r="M21" s="25">
        <f>(+K21-L21)/L21</f>
        <v>-0.025049265969736386</v>
      </c>
      <c r="N21" s="10"/>
      <c r="R21" s="2"/>
    </row>
    <row r="22" spans="1:18" ht="15.75" customHeight="1" thickBot="1">
      <c r="A22" s="19"/>
      <c r="B22" s="20"/>
      <c r="C22" s="21"/>
      <c r="D22" s="21"/>
      <c r="E22" s="23"/>
      <c r="F22" s="21"/>
      <c r="G22" s="21"/>
      <c r="H22" s="23"/>
      <c r="I22" s="24"/>
      <c r="J22" s="24"/>
      <c r="K22" s="21"/>
      <c r="L22" s="21"/>
      <c r="M22" s="25"/>
      <c r="N22" s="10"/>
      <c r="R22" s="2"/>
    </row>
    <row r="23" spans="1:18" ht="17.25" customHeight="1" thickBot="1" thickTop="1">
      <c r="A23" s="26" t="s">
        <v>14</v>
      </c>
      <c r="B23" s="27"/>
      <c r="C23" s="28">
        <f>SUM(C17:C22)</f>
        <v>715132</v>
      </c>
      <c r="D23" s="28">
        <f>SUM(D17:D22)</f>
        <v>767785</v>
      </c>
      <c r="E23" s="279">
        <f>(+C23-D23)/D23</f>
        <v>-0.0685777919599888</v>
      </c>
      <c r="F23" s="28">
        <f>SUM(F17:F22)</f>
        <v>374279</v>
      </c>
      <c r="G23" s="28">
        <f>SUM(G17:G22)</f>
        <v>402271</v>
      </c>
      <c r="H23" s="30">
        <f>(+F23-G23)/G23</f>
        <v>-0.06958493155111853</v>
      </c>
      <c r="I23" s="31">
        <f>K23/C23</f>
        <v>46.9634758897658</v>
      </c>
      <c r="J23" s="31">
        <f>K23/F23</f>
        <v>89.73275134324928</v>
      </c>
      <c r="K23" s="28">
        <f>SUM(K17:K22)</f>
        <v>33585084.44</v>
      </c>
      <c r="L23" s="28">
        <f>SUM(L17:L22)</f>
        <v>34515046.63</v>
      </c>
      <c r="M23" s="32">
        <f>(+K23-L23)/L23</f>
        <v>-0.026943674738996143</v>
      </c>
      <c r="N23" s="10"/>
      <c r="R23" s="2"/>
    </row>
    <row r="24" spans="1:18" ht="15.75" customHeight="1" thickTop="1">
      <c r="A24" s="33"/>
      <c r="B24" s="34"/>
      <c r="C24" s="35"/>
      <c r="D24" s="35"/>
      <c r="E24" s="29"/>
      <c r="F24" s="35"/>
      <c r="G24" s="35"/>
      <c r="H24" s="29"/>
      <c r="I24" s="36"/>
      <c r="J24" s="36"/>
      <c r="K24" s="35"/>
      <c r="L24" s="35"/>
      <c r="M24" s="37"/>
      <c r="N24" s="10"/>
      <c r="R24" s="2"/>
    </row>
    <row r="25" spans="1:18" ht="15.75" customHeight="1">
      <c r="A25" s="19" t="s">
        <v>56</v>
      </c>
      <c r="B25" s="20">
        <f>DATE(2017,7,1)</f>
        <v>42917</v>
      </c>
      <c r="C25" s="21">
        <v>74877</v>
      </c>
      <c r="D25" s="21">
        <v>79290</v>
      </c>
      <c r="E25" s="23">
        <f>(+C25-D25)/D25</f>
        <v>-0.0556564510026485</v>
      </c>
      <c r="F25" s="21">
        <f>+C25-41145</f>
        <v>33732</v>
      </c>
      <c r="G25" s="21">
        <f>+D25-44110</f>
        <v>35180</v>
      </c>
      <c r="H25" s="23">
        <f>(+F25-G25)/G25</f>
        <v>-0.041159749857873795</v>
      </c>
      <c r="I25" s="24">
        <f>K25/C25</f>
        <v>43.82963046062209</v>
      </c>
      <c r="J25" s="24">
        <f>K25/F25</f>
        <v>97.29133285900629</v>
      </c>
      <c r="K25" s="21">
        <v>3281831.24</v>
      </c>
      <c r="L25" s="21">
        <v>3381483.62</v>
      </c>
      <c r="M25" s="25">
        <f>(+K25-L25)/L25</f>
        <v>-0.029470017069016554</v>
      </c>
      <c r="N25" s="10"/>
      <c r="R25" s="2"/>
    </row>
    <row r="26" spans="1:18" ht="15.75" customHeight="1">
      <c r="A26" s="19"/>
      <c r="B26" s="20">
        <f>DATE(2017,8,1)</f>
        <v>42948</v>
      </c>
      <c r="C26" s="21">
        <v>67175</v>
      </c>
      <c r="D26" s="21">
        <v>71059</v>
      </c>
      <c r="E26" s="23">
        <f>(+C26-D26)/D26</f>
        <v>-0.054658804655286455</v>
      </c>
      <c r="F26" s="21">
        <f>+C26-36831</f>
        <v>30344</v>
      </c>
      <c r="G26" s="21">
        <f>+D26-39645</f>
        <v>31414</v>
      </c>
      <c r="H26" s="23">
        <f>(+F26-G26)/G26</f>
        <v>-0.03406124657795887</v>
      </c>
      <c r="I26" s="24">
        <f>K26/C26</f>
        <v>43.37994923706736</v>
      </c>
      <c r="J26" s="24">
        <f>K26/F26</f>
        <v>96.0337493408911</v>
      </c>
      <c r="K26" s="21">
        <v>2914048.09</v>
      </c>
      <c r="L26" s="21">
        <v>2856153.4</v>
      </c>
      <c r="M26" s="25">
        <f>(+K26-L26)/L26</f>
        <v>0.020270161259545776</v>
      </c>
      <c r="N26" s="10"/>
      <c r="R26" s="2"/>
    </row>
    <row r="27" spans="1:18" ht="15.75" customHeight="1">
      <c r="A27" s="19"/>
      <c r="B27" s="20">
        <f>DATE(2017,9,1)</f>
        <v>42979</v>
      </c>
      <c r="C27" s="21">
        <v>69904</v>
      </c>
      <c r="D27" s="21">
        <v>74988</v>
      </c>
      <c r="E27" s="23">
        <f>(+C27-D27)/D27</f>
        <v>-0.0677975142689497</v>
      </c>
      <c r="F27" s="21">
        <f>+C27-38362</f>
        <v>31542</v>
      </c>
      <c r="G27" s="21">
        <f>+D27-41297</f>
        <v>33691</v>
      </c>
      <c r="H27" s="23">
        <f>(+F27-G27)/G27</f>
        <v>-0.06378558071888635</v>
      </c>
      <c r="I27" s="24">
        <f>K27/C27</f>
        <v>46.3982827878233</v>
      </c>
      <c r="J27" s="24">
        <f>K27/F27</f>
        <v>102.82878574598948</v>
      </c>
      <c r="K27" s="21">
        <v>3243425.56</v>
      </c>
      <c r="L27" s="21">
        <v>3135290.49</v>
      </c>
      <c r="M27" s="25">
        <f>(+K27-L27)/L27</f>
        <v>0.03448964947423415</v>
      </c>
      <c r="N27" s="10"/>
      <c r="R27" s="2"/>
    </row>
    <row r="28" spans="1:18" ht="15.75" customHeight="1">
      <c r="A28" s="19"/>
      <c r="B28" s="20">
        <f>DATE(2017,10,1)</f>
        <v>43009</v>
      </c>
      <c r="C28" s="21">
        <v>63702</v>
      </c>
      <c r="D28" s="21">
        <v>72346</v>
      </c>
      <c r="E28" s="23">
        <f>(+C28-D28)/D28</f>
        <v>-0.11948138114062976</v>
      </c>
      <c r="F28" s="21">
        <f>+C28-34930</f>
        <v>28772</v>
      </c>
      <c r="G28" s="21">
        <f>+D28-40670</f>
        <v>31676</v>
      </c>
      <c r="H28" s="23">
        <f>(+F28-G28)/G28</f>
        <v>-0.09167824220229827</v>
      </c>
      <c r="I28" s="24">
        <f>K28/C28</f>
        <v>45.42142020658692</v>
      </c>
      <c r="J28" s="24">
        <f>K28/F28</f>
        <v>100.56427464201307</v>
      </c>
      <c r="K28" s="21">
        <v>2893435.31</v>
      </c>
      <c r="L28" s="21">
        <v>2923958.35</v>
      </c>
      <c r="M28" s="25">
        <f>(+K28-L28)/L28</f>
        <v>-0.010438944863903427</v>
      </c>
      <c r="N28" s="10"/>
      <c r="R28" s="2"/>
    </row>
    <row r="29" spans="1:18" ht="15.75" customHeight="1">
      <c r="A29" s="19"/>
      <c r="B29" s="20">
        <f>DATE(2017,11,1)</f>
        <v>43040</v>
      </c>
      <c r="C29" s="21">
        <v>63117</v>
      </c>
      <c r="D29" s="21">
        <v>65636</v>
      </c>
      <c r="E29" s="23">
        <f>(+C29-D29)/D29</f>
        <v>-0.03837832896581145</v>
      </c>
      <c r="F29" s="21">
        <f>+C29-34627</f>
        <v>28490</v>
      </c>
      <c r="G29" s="21">
        <f>+D29-36502</f>
        <v>29134</v>
      </c>
      <c r="H29" s="23">
        <f>(+F29-G29)/G29</f>
        <v>-0.022104757328207592</v>
      </c>
      <c r="I29" s="24">
        <f>K29/C29</f>
        <v>45.03819383050526</v>
      </c>
      <c r="J29" s="24">
        <f>K29/F29</f>
        <v>99.77801614601616</v>
      </c>
      <c r="K29" s="21">
        <v>2842675.68</v>
      </c>
      <c r="L29" s="21">
        <v>2921467.44</v>
      </c>
      <c r="M29" s="25">
        <f>(+K29-L29)/L29</f>
        <v>-0.02696992577127602</v>
      </c>
      <c r="N29" s="10"/>
      <c r="R29" s="2"/>
    </row>
    <row r="30" spans="1:18" ht="15.75" customHeight="1" thickBot="1">
      <c r="A30" s="38"/>
      <c r="B30" s="20"/>
      <c r="C30" s="21"/>
      <c r="D30" s="21"/>
      <c r="E30" s="23"/>
      <c r="F30" s="21"/>
      <c r="G30" s="21"/>
      <c r="H30" s="23"/>
      <c r="I30" s="24"/>
      <c r="J30" s="24"/>
      <c r="K30" s="21"/>
      <c r="L30" s="21"/>
      <c r="M30" s="25"/>
      <c r="N30" s="10"/>
      <c r="R30" s="2"/>
    </row>
    <row r="31" spans="1:18" ht="17.25" customHeight="1" thickBot="1" thickTop="1">
      <c r="A31" s="39" t="s">
        <v>14</v>
      </c>
      <c r="B31" s="40"/>
      <c r="C31" s="41">
        <f>SUM(C25:C30)</f>
        <v>338775</v>
      </c>
      <c r="D31" s="41">
        <f>SUM(D25:D30)</f>
        <v>363319</v>
      </c>
      <c r="E31" s="280">
        <f>(+C31-D31)/D31</f>
        <v>-0.06755495859010952</v>
      </c>
      <c r="F31" s="41">
        <f>SUM(F25:F30)</f>
        <v>152880</v>
      </c>
      <c r="G31" s="41">
        <f>SUM(G25:G30)</f>
        <v>161095</v>
      </c>
      <c r="H31" s="42">
        <f>(+F31-G31)/G31</f>
        <v>-0.05099475464787858</v>
      </c>
      <c r="I31" s="43">
        <f>K31/C31</f>
        <v>44.7949697586894</v>
      </c>
      <c r="J31" s="43">
        <f>K31/F31</f>
        <v>99.26357849293564</v>
      </c>
      <c r="K31" s="41">
        <f>SUM(K25:K30)</f>
        <v>15175415.88</v>
      </c>
      <c r="L31" s="41">
        <f>SUM(L25:L30)</f>
        <v>15218353.299999999</v>
      </c>
      <c r="M31" s="44">
        <f>(+K31-L31)/L31</f>
        <v>-0.0028214235241862907</v>
      </c>
      <c r="N31" s="10"/>
      <c r="R31" s="2"/>
    </row>
    <row r="32" spans="1:18" ht="15.75" customHeight="1" thickTop="1">
      <c r="A32" s="38"/>
      <c r="B32" s="45"/>
      <c r="C32" s="21"/>
      <c r="D32" s="21"/>
      <c r="E32" s="23"/>
      <c r="F32" s="21"/>
      <c r="G32" s="21"/>
      <c r="H32" s="23"/>
      <c r="I32" s="24"/>
      <c r="J32" s="24"/>
      <c r="K32" s="21"/>
      <c r="L32" s="21"/>
      <c r="M32" s="25"/>
      <c r="N32" s="10"/>
      <c r="R32" s="2"/>
    </row>
    <row r="33" spans="1:18" ht="15.75" customHeight="1">
      <c r="A33" s="177" t="s">
        <v>65</v>
      </c>
      <c r="B33" s="20">
        <f>DATE(2017,7,1)</f>
        <v>42917</v>
      </c>
      <c r="C33" s="21">
        <v>502707</v>
      </c>
      <c r="D33" s="21">
        <v>511183</v>
      </c>
      <c r="E33" s="23">
        <f>(+C33-D33)/D33</f>
        <v>-0.016581146086626513</v>
      </c>
      <c r="F33" s="21">
        <f>+C33-258518</f>
        <v>244189</v>
      </c>
      <c r="G33" s="21">
        <f>+D33-260995</f>
        <v>250188</v>
      </c>
      <c r="H33" s="23">
        <f>(+F33-G33)/G33</f>
        <v>-0.023977968567637137</v>
      </c>
      <c r="I33" s="24">
        <f>K33/C33</f>
        <v>42.25315102037568</v>
      </c>
      <c r="J33" s="24">
        <f>K33/F33</f>
        <v>86.9857151223028</v>
      </c>
      <c r="K33" s="21">
        <v>21240954.79</v>
      </c>
      <c r="L33" s="21">
        <v>21271913.41</v>
      </c>
      <c r="M33" s="25">
        <f>(+K33-L33)/L33</f>
        <v>-0.0014553754240766742</v>
      </c>
      <c r="N33" s="10"/>
      <c r="R33" s="2"/>
    </row>
    <row r="34" spans="1:18" ht="15.75" customHeight="1">
      <c r="A34" s="177"/>
      <c r="B34" s="20">
        <f>DATE(2017,8,1)</f>
        <v>42948</v>
      </c>
      <c r="C34" s="21">
        <v>453491</v>
      </c>
      <c r="D34" s="21">
        <v>492813</v>
      </c>
      <c r="E34" s="23">
        <f>(+C34-D34)/D34</f>
        <v>-0.07979091460655462</v>
      </c>
      <c r="F34" s="21">
        <f>+C34-231314</f>
        <v>222177</v>
      </c>
      <c r="G34" s="21">
        <f>+D34-254208</f>
        <v>238605</v>
      </c>
      <c r="H34" s="23">
        <f>(+F34-G34)/G34</f>
        <v>-0.06885019173948576</v>
      </c>
      <c r="I34" s="24">
        <f>K34/C34</f>
        <v>43.557037383321834</v>
      </c>
      <c r="J34" s="24">
        <f>K34/F34</f>
        <v>88.9053522191766</v>
      </c>
      <c r="K34" s="21">
        <v>19752724.44</v>
      </c>
      <c r="L34" s="21">
        <v>20322456.8</v>
      </c>
      <c r="M34" s="25">
        <f>(+K34-L34)/L34</f>
        <v>-0.028034620302403564</v>
      </c>
      <c r="N34" s="10"/>
      <c r="R34" s="2"/>
    </row>
    <row r="35" spans="1:18" ht="15.75" customHeight="1">
      <c r="A35" s="177"/>
      <c r="B35" s="20">
        <f>DATE(2017,9,1)</f>
        <v>42979</v>
      </c>
      <c r="C35" s="21">
        <v>440378</v>
      </c>
      <c r="D35" s="21">
        <v>456081</v>
      </c>
      <c r="E35" s="23">
        <f>(+C35-D35)/D35</f>
        <v>-0.0344302876024215</v>
      </c>
      <c r="F35" s="21">
        <f>+C35-224768</f>
        <v>215610</v>
      </c>
      <c r="G35" s="21">
        <f>+D35-233745</f>
        <v>222336</v>
      </c>
      <c r="H35" s="23">
        <f>(+F35-G35)/G35</f>
        <v>-0.030251511226252158</v>
      </c>
      <c r="I35" s="24">
        <f>K35/C35</f>
        <v>45.40048721779926</v>
      </c>
      <c r="J35" s="24">
        <f>K35/F35</f>
        <v>92.72935281294932</v>
      </c>
      <c r="K35" s="21">
        <v>19993375.76</v>
      </c>
      <c r="L35" s="21">
        <v>19442866.91</v>
      </c>
      <c r="M35" s="25">
        <f>(+K35-L35)/L35</f>
        <v>0.028314180853486155</v>
      </c>
      <c r="N35" s="10"/>
      <c r="R35" s="2"/>
    </row>
    <row r="36" spans="1:18" ht="15.75" customHeight="1">
      <c r="A36" s="177"/>
      <c r="B36" s="20">
        <f>DATE(2017,10,1)</f>
        <v>43009</v>
      </c>
      <c r="C36" s="21">
        <v>419713</v>
      </c>
      <c r="D36" s="21">
        <v>454176</v>
      </c>
      <c r="E36" s="23">
        <f>(+C36-D36)/D36</f>
        <v>-0.07588027548791658</v>
      </c>
      <c r="F36" s="21">
        <f>+C36-218072</f>
        <v>201641</v>
      </c>
      <c r="G36" s="21">
        <f>+D36-236207</f>
        <v>217969</v>
      </c>
      <c r="H36" s="23">
        <f>(+F36-G36)/G36</f>
        <v>-0.07490973487055498</v>
      </c>
      <c r="I36" s="24">
        <f>K36/C36</f>
        <v>43.245254471507906</v>
      </c>
      <c r="J36" s="24">
        <f>K36/F36</f>
        <v>90.01440922233077</v>
      </c>
      <c r="K36" s="21">
        <v>18150595.49</v>
      </c>
      <c r="L36" s="21">
        <v>19802463.97</v>
      </c>
      <c r="M36" s="25">
        <f>(+K36-L36)/L36</f>
        <v>-0.08341732031440735</v>
      </c>
      <c r="N36" s="10"/>
      <c r="R36" s="2"/>
    </row>
    <row r="37" spans="1:18" ht="15.75" customHeight="1">
      <c r="A37" s="177"/>
      <c r="B37" s="20">
        <f>DATE(2017,11,1)</f>
        <v>43040</v>
      </c>
      <c r="C37" s="21">
        <v>408603</v>
      </c>
      <c r="D37" s="21">
        <v>448954</v>
      </c>
      <c r="E37" s="23">
        <f>(+C37-D37)/D37</f>
        <v>-0.08987780485305845</v>
      </c>
      <c r="F37" s="21">
        <f>+C37-210845</f>
        <v>197758</v>
      </c>
      <c r="G37" s="21">
        <f>+D37-231857</f>
        <v>217097</v>
      </c>
      <c r="H37" s="23">
        <f>(+F37-G37)/G37</f>
        <v>-0.0890799964992607</v>
      </c>
      <c r="I37" s="24">
        <f>K37/C37</f>
        <v>45.19965634124076</v>
      </c>
      <c r="J37" s="24">
        <f>K37/F37</f>
        <v>93.39048321686101</v>
      </c>
      <c r="K37" s="21">
        <v>18468715.18</v>
      </c>
      <c r="L37" s="21">
        <v>18785567.54</v>
      </c>
      <c r="M37" s="25">
        <f>(+K37-L37)/L37</f>
        <v>-0.016866797307311984</v>
      </c>
      <c r="N37" s="10"/>
      <c r="R37" s="2"/>
    </row>
    <row r="38" spans="1:18" ht="15.75" thickBot="1">
      <c r="A38" s="38"/>
      <c r="B38" s="45"/>
      <c r="C38" s="21"/>
      <c r="D38" s="21"/>
      <c r="E38" s="23"/>
      <c r="F38" s="21"/>
      <c r="G38" s="21"/>
      <c r="H38" s="23"/>
      <c r="I38" s="24"/>
      <c r="J38" s="24"/>
      <c r="K38" s="21"/>
      <c r="L38" s="21"/>
      <c r="M38" s="25"/>
      <c r="N38" s="10"/>
      <c r="R38" s="2"/>
    </row>
    <row r="39" spans="1:18" ht="17.25" thickBot="1" thickTop="1">
      <c r="A39" s="39" t="s">
        <v>14</v>
      </c>
      <c r="B39" s="40"/>
      <c r="C39" s="41">
        <f>SUM(C33:C38)</f>
        <v>2224892</v>
      </c>
      <c r="D39" s="41">
        <f>SUM(D33:D38)</f>
        <v>2363207</v>
      </c>
      <c r="E39" s="280">
        <f>(+C39-D39)/D39</f>
        <v>-0.05852851654552479</v>
      </c>
      <c r="F39" s="41">
        <f>SUM(F33:F38)</f>
        <v>1081375</v>
      </c>
      <c r="G39" s="41">
        <f>SUM(G33:G38)</f>
        <v>1146195</v>
      </c>
      <c r="H39" s="42">
        <f>(+F39-G39)/G39</f>
        <v>-0.05655233184580285</v>
      </c>
      <c r="I39" s="43">
        <f>K39/C39</f>
        <v>43.87015893805182</v>
      </c>
      <c r="J39" s="43">
        <f>K39/F39</f>
        <v>90.2613484313952</v>
      </c>
      <c r="K39" s="41">
        <f>SUM(K33:K38)</f>
        <v>97606365.66</v>
      </c>
      <c r="L39" s="41">
        <f>SUM(L33:L38)</f>
        <v>99625268.63</v>
      </c>
      <c r="M39" s="44">
        <f>(+K39-L39)/L39</f>
        <v>-0.02026496889557244</v>
      </c>
      <c r="N39" s="10"/>
      <c r="R39" s="2"/>
    </row>
    <row r="40" spans="1:18" ht="15.75" thickTop="1">
      <c r="A40" s="38"/>
      <c r="B40" s="45"/>
      <c r="C40" s="21"/>
      <c r="D40" s="21"/>
      <c r="E40" s="23"/>
      <c r="F40" s="21"/>
      <c r="G40" s="21"/>
      <c r="H40" s="23"/>
      <c r="I40" s="24"/>
      <c r="J40" s="24"/>
      <c r="K40" s="21"/>
      <c r="L40" s="21"/>
      <c r="M40" s="25"/>
      <c r="N40" s="10"/>
      <c r="R40" s="2"/>
    </row>
    <row r="41" spans="1:18" ht="15.75">
      <c r="A41" s="19" t="s">
        <v>16</v>
      </c>
      <c r="B41" s="20">
        <f>DATE(2017,7,1)</f>
        <v>42917</v>
      </c>
      <c r="C41" s="21">
        <v>332127</v>
      </c>
      <c r="D41" s="21">
        <v>323462</v>
      </c>
      <c r="E41" s="23">
        <f>(+C41-D41)/D41</f>
        <v>0.026788308982198836</v>
      </c>
      <c r="F41" s="21">
        <f>+C41-153372</f>
        <v>178755</v>
      </c>
      <c r="G41" s="21">
        <f>+D41-151596</f>
        <v>171866</v>
      </c>
      <c r="H41" s="23">
        <f>(+F41-G41)/G41</f>
        <v>0.040083553466072404</v>
      </c>
      <c r="I41" s="24">
        <f>K41/C41</f>
        <v>51.14205313027848</v>
      </c>
      <c r="J41" s="24">
        <f>K41/F41</f>
        <v>95.02199479734833</v>
      </c>
      <c r="K41" s="21">
        <v>16985656.68</v>
      </c>
      <c r="L41" s="21">
        <v>13704607.39</v>
      </c>
      <c r="M41" s="25">
        <f>(+K41-L41)/L41</f>
        <v>0.23941213320668495</v>
      </c>
      <c r="N41" s="10"/>
      <c r="R41" s="2"/>
    </row>
    <row r="42" spans="1:18" ht="15.75">
      <c r="A42" s="19"/>
      <c r="B42" s="20">
        <f>DATE(2017,8,1)</f>
        <v>42948</v>
      </c>
      <c r="C42" s="21">
        <v>318460</v>
      </c>
      <c r="D42" s="21">
        <v>307862</v>
      </c>
      <c r="E42" s="23">
        <f>(+C42-D42)/D42</f>
        <v>0.03442451488004366</v>
      </c>
      <c r="F42" s="21">
        <f>+C42-146549</f>
        <v>171911</v>
      </c>
      <c r="G42" s="21">
        <f>+D42-143781</f>
        <v>164081</v>
      </c>
      <c r="H42" s="23">
        <f>(+F42-G42)/G42</f>
        <v>0.04772033325004114</v>
      </c>
      <c r="I42" s="24">
        <f>K42/C42</f>
        <v>48.91667229793381</v>
      </c>
      <c r="J42" s="24">
        <f>K42/F42</f>
        <v>90.61667641977536</v>
      </c>
      <c r="K42" s="21">
        <v>15578003.46</v>
      </c>
      <c r="L42" s="21">
        <v>14120994.54</v>
      </c>
      <c r="M42" s="25">
        <f>(+K42-L42)/L42</f>
        <v>0.10318033307588843</v>
      </c>
      <c r="N42" s="10"/>
      <c r="R42" s="2"/>
    </row>
    <row r="43" spans="1:18" ht="15.75">
      <c r="A43" s="19"/>
      <c r="B43" s="20">
        <f>DATE(2017,9,1)</f>
        <v>42979</v>
      </c>
      <c r="C43" s="21">
        <v>319116</v>
      </c>
      <c r="D43" s="21">
        <v>293770</v>
      </c>
      <c r="E43" s="23">
        <f>(+C43-D43)/D43</f>
        <v>0.08627838104639685</v>
      </c>
      <c r="F43" s="21">
        <f>+C43-146330</f>
        <v>172786</v>
      </c>
      <c r="G43" s="21">
        <f>+D43-134268</f>
        <v>159502</v>
      </c>
      <c r="H43" s="23">
        <f>(+F43-G43)/G43</f>
        <v>0.08328422214141515</v>
      </c>
      <c r="I43" s="24">
        <f>K43/C43</f>
        <v>48.81698181852367</v>
      </c>
      <c r="J43" s="24">
        <f>K43/F43</f>
        <v>90.15938773974743</v>
      </c>
      <c r="K43" s="21">
        <v>15578279.97</v>
      </c>
      <c r="L43" s="21">
        <v>14466452.66</v>
      </c>
      <c r="M43" s="25">
        <f>(+K43-L43)/L43</f>
        <v>0.07685555928124818</v>
      </c>
      <c r="N43" s="10"/>
      <c r="R43" s="2"/>
    </row>
    <row r="44" spans="1:18" ht="15.75">
      <c r="A44" s="19"/>
      <c r="B44" s="20">
        <f>DATE(2017,10,1)</f>
        <v>43009</v>
      </c>
      <c r="C44" s="21">
        <v>307325</v>
      </c>
      <c r="D44" s="21">
        <v>284233</v>
      </c>
      <c r="E44" s="23">
        <f>(+C44-D44)/D44</f>
        <v>0.08124320539838795</v>
      </c>
      <c r="F44" s="21">
        <f>+C44-144149</f>
        <v>163176</v>
      </c>
      <c r="G44" s="21">
        <f>+D44-134431</f>
        <v>149802</v>
      </c>
      <c r="H44" s="23">
        <f>(+F44-G44)/G44</f>
        <v>0.08927784675772019</v>
      </c>
      <c r="I44" s="24">
        <f>K44/C44</f>
        <v>46.718018937606764</v>
      </c>
      <c r="J44" s="24">
        <f>K44/F44</f>
        <v>87.98852263813306</v>
      </c>
      <c r="K44" s="21">
        <v>14357615.17</v>
      </c>
      <c r="L44" s="21">
        <v>13784707.47</v>
      </c>
      <c r="M44" s="25">
        <f>(+K44-L44)/L44</f>
        <v>0.04156110684588936</v>
      </c>
      <c r="N44" s="10"/>
      <c r="R44" s="2"/>
    </row>
    <row r="45" spans="1:18" ht="15.75">
      <c r="A45" s="19"/>
      <c r="B45" s="20">
        <f>DATE(2017,11,1)</f>
        <v>43040</v>
      </c>
      <c r="C45" s="21">
        <v>280587</v>
      </c>
      <c r="D45" s="21">
        <v>277688</v>
      </c>
      <c r="E45" s="23">
        <f>(+C45-D45)/D45</f>
        <v>0.010439774135000432</v>
      </c>
      <c r="F45" s="21">
        <f>+C45-134796</f>
        <v>145791</v>
      </c>
      <c r="G45" s="21">
        <f>+D45-132374</f>
        <v>145314</v>
      </c>
      <c r="H45" s="23">
        <f>(+F45-G45)/G45</f>
        <v>0.0032825467608076303</v>
      </c>
      <c r="I45" s="24">
        <f>K45/C45</f>
        <v>50.25038643985644</v>
      </c>
      <c r="J45" s="24">
        <f>K45/F45</f>
        <v>96.71108079373899</v>
      </c>
      <c r="K45" s="21">
        <v>14099605.18</v>
      </c>
      <c r="L45" s="21">
        <v>13247854.81</v>
      </c>
      <c r="M45" s="25">
        <f>(+K45-L45)/L45</f>
        <v>0.06429345597576029</v>
      </c>
      <c r="N45" s="10"/>
      <c r="R45" s="2"/>
    </row>
    <row r="46" spans="1:18" ht="15.75" thickBot="1">
      <c r="A46" s="38"/>
      <c r="B46" s="20"/>
      <c r="C46" s="21"/>
      <c r="D46" s="21"/>
      <c r="E46" s="23"/>
      <c r="F46" s="21"/>
      <c r="G46" s="21"/>
      <c r="H46" s="23"/>
      <c r="I46" s="24"/>
      <c r="J46" s="24"/>
      <c r="K46" s="21"/>
      <c r="L46" s="21"/>
      <c r="M46" s="25"/>
      <c r="N46" s="10"/>
      <c r="R46" s="2"/>
    </row>
    <row r="47" spans="1:18" ht="17.25" thickBot="1" thickTop="1">
      <c r="A47" s="39" t="s">
        <v>14</v>
      </c>
      <c r="B47" s="40"/>
      <c r="C47" s="41">
        <f>SUM(C41:C46)</f>
        <v>1557615</v>
      </c>
      <c r="D47" s="41">
        <f>SUM(D41:D46)</f>
        <v>1487015</v>
      </c>
      <c r="E47" s="281">
        <f>(+C47-D47)/D47</f>
        <v>0.047477664986567046</v>
      </c>
      <c r="F47" s="47">
        <f>SUM(F41:F46)</f>
        <v>832419</v>
      </c>
      <c r="G47" s="48">
        <f>SUM(G41:G46)</f>
        <v>790565</v>
      </c>
      <c r="H47" s="49">
        <f>(+F47-G47)/G47</f>
        <v>0.05294188333660104</v>
      </c>
      <c r="I47" s="50">
        <f>K47/C47</f>
        <v>49.177210324759336</v>
      </c>
      <c r="J47" s="51">
        <f>K47/F47</f>
        <v>92.01995684865436</v>
      </c>
      <c r="K47" s="48">
        <f>SUM(K41:K46)</f>
        <v>76599160.46000001</v>
      </c>
      <c r="L47" s="47">
        <f>SUM(L41:L46)</f>
        <v>69324616.87</v>
      </c>
      <c r="M47" s="44">
        <f>(+K47-L47)/L47</f>
        <v>0.10493449395676412</v>
      </c>
      <c r="N47" s="10"/>
      <c r="R47" s="2"/>
    </row>
    <row r="48" spans="1:18" ht="15.75" customHeight="1" thickTop="1">
      <c r="A48" s="273"/>
      <c r="B48" s="45"/>
      <c r="C48" s="21"/>
      <c r="D48" s="21"/>
      <c r="E48" s="23"/>
      <c r="F48" s="21"/>
      <c r="G48" s="21"/>
      <c r="H48" s="23"/>
      <c r="I48" s="24"/>
      <c r="J48" s="24"/>
      <c r="K48" s="21"/>
      <c r="L48" s="21"/>
      <c r="M48" s="25"/>
      <c r="N48" s="10"/>
      <c r="R48" s="2"/>
    </row>
    <row r="49" spans="1:18" ht="15.75">
      <c r="A49" s="274" t="s">
        <v>66</v>
      </c>
      <c r="B49" s="20">
        <f>DATE(2017,7,1)</f>
        <v>42917</v>
      </c>
      <c r="C49" s="21">
        <v>155680</v>
      </c>
      <c r="D49" s="21">
        <v>180124</v>
      </c>
      <c r="E49" s="23">
        <f>(+C49-D49)/D49</f>
        <v>-0.13570651329084407</v>
      </c>
      <c r="F49" s="21">
        <f>+C49-76075</f>
        <v>79605</v>
      </c>
      <c r="G49" s="21">
        <f>+D49-87090</f>
        <v>93034</v>
      </c>
      <c r="H49" s="23">
        <f>(+F49-G49)/G49</f>
        <v>-0.14434507814347444</v>
      </c>
      <c r="I49" s="24">
        <f>K49/C49</f>
        <v>36.590878597122305</v>
      </c>
      <c r="J49" s="24">
        <f>K49/F49</f>
        <v>71.55917316751461</v>
      </c>
      <c r="K49" s="21">
        <v>5696467.98</v>
      </c>
      <c r="L49" s="21">
        <v>6090878.36</v>
      </c>
      <c r="M49" s="25">
        <f>(+K49-L49)/L49</f>
        <v>-0.06475426969452726</v>
      </c>
      <c r="N49" s="10"/>
      <c r="R49" s="2"/>
    </row>
    <row r="50" spans="1:18" ht="15.75">
      <c r="A50" s="274"/>
      <c r="B50" s="20">
        <f>DATE(2017,8,1)</f>
        <v>42948</v>
      </c>
      <c r="C50" s="21">
        <v>137297</v>
      </c>
      <c r="D50" s="21">
        <v>157062</v>
      </c>
      <c r="E50" s="23">
        <f>(+C50-D50)/D50</f>
        <v>-0.12584202416879958</v>
      </c>
      <c r="F50" s="21">
        <f>+C50-65122</f>
        <v>72175</v>
      </c>
      <c r="G50" s="21">
        <f>+D50-74517</f>
        <v>82545</v>
      </c>
      <c r="H50" s="23">
        <f>(+F50-G50)/G50</f>
        <v>-0.12562844509055668</v>
      </c>
      <c r="I50" s="24">
        <f>K50/C50</f>
        <v>37.46472952795764</v>
      </c>
      <c r="J50" s="24">
        <f>K50/F50</f>
        <v>71.26837506061655</v>
      </c>
      <c r="K50" s="21">
        <v>5143794.97</v>
      </c>
      <c r="L50" s="21">
        <v>5605573.68</v>
      </c>
      <c r="M50" s="25">
        <f>(+K50-L50)/L50</f>
        <v>-0.08237849261487185</v>
      </c>
      <c r="N50" s="10"/>
      <c r="R50" s="2"/>
    </row>
    <row r="51" spans="1:18" ht="15.75">
      <c r="A51" s="274"/>
      <c r="B51" s="20">
        <f>DATE(2017,9,1)</f>
        <v>42979</v>
      </c>
      <c r="C51" s="21">
        <v>151497</v>
      </c>
      <c r="D51" s="21">
        <v>163013</v>
      </c>
      <c r="E51" s="23">
        <f>(+C51-D51)/D51</f>
        <v>-0.07064467251078135</v>
      </c>
      <c r="F51" s="21">
        <f>+C51-72439</f>
        <v>79058</v>
      </c>
      <c r="G51" s="21">
        <f>+D51-75491</f>
        <v>87522</v>
      </c>
      <c r="H51" s="23">
        <f>(+F51-G51)/G51</f>
        <v>-0.09670711363999909</v>
      </c>
      <c r="I51" s="24">
        <f>K51/C51</f>
        <v>38.87098655418919</v>
      </c>
      <c r="J51" s="24">
        <f>K51/F51</f>
        <v>74.48756419337701</v>
      </c>
      <c r="K51" s="21">
        <v>5888837.85</v>
      </c>
      <c r="L51" s="21">
        <v>5567122.49</v>
      </c>
      <c r="M51" s="25">
        <f>(+K51-L51)/L51</f>
        <v>0.05778844646904821</v>
      </c>
      <c r="N51" s="10"/>
      <c r="R51" s="2"/>
    </row>
    <row r="52" spans="1:18" ht="15.75">
      <c r="A52" s="274"/>
      <c r="B52" s="20">
        <f>DATE(2017,10,1)</f>
        <v>43009</v>
      </c>
      <c r="C52" s="21">
        <v>146335</v>
      </c>
      <c r="D52" s="21">
        <v>149865</v>
      </c>
      <c r="E52" s="23">
        <f>(+C52-D52)/D52</f>
        <v>-0.02355453241250459</v>
      </c>
      <c r="F52" s="21">
        <f>+C52-70514</f>
        <v>75821</v>
      </c>
      <c r="G52" s="21">
        <f>+D52-72452</f>
        <v>77413</v>
      </c>
      <c r="H52" s="23">
        <f>(+F52-G52)/G52</f>
        <v>-0.02056502137883818</v>
      </c>
      <c r="I52" s="24">
        <f>K52/C52</f>
        <v>35.31250213551098</v>
      </c>
      <c r="J52" s="24">
        <f>K52/F52</f>
        <v>68.15334801704013</v>
      </c>
      <c r="K52" s="21">
        <v>5167455</v>
      </c>
      <c r="L52" s="21">
        <v>5218721.49</v>
      </c>
      <c r="M52" s="25">
        <f>(+K52-L52)/L52</f>
        <v>-0.00982357270803509</v>
      </c>
      <c r="N52" s="10"/>
      <c r="R52" s="2"/>
    </row>
    <row r="53" spans="1:18" ht="15.75">
      <c r="A53" s="274"/>
      <c r="B53" s="20">
        <f>DATE(2017,11,1)</f>
        <v>43040</v>
      </c>
      <c r="C53" s="21">
        <v>136794</v>
      </c>
      <c r="D53" s="21">
        <v>147842</v>
      </c>
      <c r="E53" s="23">
        <f>(+C53-D53)/D53</f>
        <v>-0.07472842629293434</v>
      </c>
      <c r="F53" s="21">
        <f>+C53-66771</f>
        <v>70023</v>
      </c>
      <c r="G53" s="21">
        <f>+D53-70415</f>
        <v>77427</v>
      </c>
      <c r="H53" s="23">
        <f>(+F53-G53)/G53</f>
        <v>-0.0956255569762486</v>
      </c>
      <c r="I53" s="24">
        <f>K53/C53</f>
        <v>36.99776825006945</v>
      </c>
      <c r="J53" s="24">
        <f>K53/F53</f>
        <v>72.27729046170543</v>
      </c>
      <c r="K53" s="21">
        <v>5061072.71</v>
      </c>
      <c r="L53" s="21">
        <v>5196102.88</v>
      </c>
      <c r="M53" s="25">
        <f>(+K53-L53)/L53</f>
        <v>-0.025986816103995218</v>
      </c>
      <c r="N53" s="10"/>
      <c r="R53" s="2"/>
    </row>
    <row r="54" spans="1:18" ht="15.75" customHeight="1" thickBot="1">
      <c r="A54" s="19"/>
      <c r="B54" s="20"/>
      <c r="C54" s="21"/>
      <c r="D54" s="21"/>
      <c r="E54" s="23"/>
      <c r="F54" s="21"/>
      <c r="G54" s="21"/>
      <c r="H54" s="23"/>
      <c r="I54" s="24"/>
      <c r="J54" s="24"/>
      <c r="K54" s="21"/>
      <c r="L54" s="21"/>
      <c r="M54" s="25"/>
      <c r="N54" s="10"/>
      <c r="R54" s="2"/>
    </row>
    <row r="55" spans="1:18" ht="17.25" customHeight="1" thickBot="1" thickTop="1">
      <c r="A55" s="39" t="s">
        <v>14</v>
      </c>
      <c r="B55" s="52"/>
      <c r="C55" s="47">
        <f>SUM(C49:C54)</f>
        <v>727603</v>
      </c>
      <c r="D55" s="48">
        <f>SUM(D49:D54)</f>
        <v>797906</v>
      </c>
      <c r="E55" s="281">
        <f>(+C55-D55)/D55</f>
        <v>-0.08810937629244547</v>
      </c>
      <c r="F55" s="48">
        <f>SUM(F49:F54)</f>
        <v>376682</v>
      </c>
      <c r="G55" s="47">
        <f>SUM(G49:G54)</f>
        <v>417941</v>
      </c>
      <c r="H55" s="46">
        <f>(+F55-G55)/G55</f>
        <v>-0.09871967574370545</v>
      </c>
      <c r="I55" s="51">
        <f>K55/C55</f>
        <v>37.04991390909603</v>
      </c>
      <c r="J55" s="50">
        <f>K55/F55</f>
        <v>71.56601194110682</v>
      </c>
      <c r="K55" s="47">
        <f>SUM(K49:K54)</f>
        <v>26957628.509999998</v>
      </c>
      <c r="L55" s="48">
        <f>SUM(L49:L54)</f>
        <v>27678398.900000002</v>
      </c>
      <c r="M55" s="44">
        <f>(+K55-L55)/L55</f>
        <v>-0.02604089899145157</v>
      </c>
      <c r="N55" s="10"/>
      <c r="R55" s="2"/>
    </row>
    <row r="56" spans="1:18" ht="15.75" customHeight="1" thickTop="1">
      <c r="A56" s="19"/>
      <c r="B56" s="45"/>
      <c r="C56" s="21"/>
      <c r="D56" s="21"/>
      <c r="E56" s="23"/>
      <c r="F56" s="21"/>
      <c r="G56" s="21"/>
      <c r="H56" s="23"/>
      <c r="I56" s="24"/>
      <c r="J56" s="24"/>
      <c r="K56" s="21"/>
      <c r="L56" s="21"/>
      <c r="M56" s="25"/>
      <c r="N56" s="10"/>
      <c r="R56" s="2"/>
    </row>
    <row r="57" spans="1:18" ht="15.75">
      <c r="A57" s="19" t="s">
        <v>17</v>
      </c>
      <c r="B57" s="20">
        <f>DATE(2017,7,1)</f>
        <v>42917</v>
      </c>
      <c r="C57" s="21">
        <v>176619</v>
      </c>
      <c r="D57" s="21">
        <v>186981</v>
      </c>
      <c r="E57" s="23">
        <f>(+C57-D57)/D57</f>
        <v>-0.05541739535032971</v>
      </c>
      <c r="F57" s="21">
        <f>+C57-82680</f>
        <v>93939</v>
      </c>
      <c r="G57" s="21">
        <f>+D57-86212</f>
        <v>100769</v>
      </c>
      <c r="H57" s="23">
        <f>(+F57-G57)/G57</f>
        <v>-0.06777878117278131</v>
      </c>
      <c r="I57" s="24">
        <f>K57/C57</f>
        <v>35.04590627282455</v>
      </c>
      <c r="J57" s="24">
        <f>K57/F57</f>
        <v>65.89140740267621</v>
      </c>
      <c r="K57" s="21">
        <v>6189772.92</v>
      </c>
      <c r="L57" s="21">
        <v>6390595.25</v>
      </c>
      <c r="M57" s="25">
        <f>(+K57-L57)/L57</f>
        <v>-0.03142466736568868</v>
      </c>
      <c r="N57" s="10"/>
      <c r="R57" s="2"/>
    </row>
    <row r="58" spans="1:18" ht="15.75">
      <c r="A58" s="19"/>
      <c r="B58" s="20">
        <f>DATE(2017,8,1)</f>
        <v>42948</v>
      </c>
      <c r="C58" s="21">
        <v>166602</v>
      </c>
      <c r="D58" s="21">
        <v>177226</v>
      </c>
      <c r="E58" s="23">
        <f>(+C58-D58)/D58</f>
        <v>-0.05994605757620214</v>
      </c>
      <c r="F58" s="21">
        <f>+C58-77233</f>
        <v>89369</v>
      </c>
      <c r="G58" s="21">
        <f>+D58-81305</f>
        <v>95921</v>
      </c>
      <c r="H58" s="23">
        <f>(+F58-G58)/G58</f>
        <v>-0.06830621031890827</v>
      </c>
      <c r="I58" s="24">
        <f>K58/C58</f>
        <v>35.49029021260249</v>
      </c>
      <c r="J58" s="24">
        <f>K58/F58</f>
        <v>66.16112220121072</v>
      </c>
      <c r="K58" s="21">
        <v>5912753.33</v>
      </c>
      <c r="L58" s="21">
        <v>6124719.61</v>
      </c>
      <c r="M58" s="25">
        <f>(+K58-L58)/L58</f>
        <v>-0.03460832389027524</v>
      </c>
      <c r="N58" s="10"/>
      <c r="R58" s="2"/>
    </row>
    <row r="59" spans="1:18" ht="15.75">
      <c r="A59" s="19"/>
      <c r="B59" s="20">
        <f>DATE(2017,9,1)</f>
        <v>42979</v>
      </c>
      <c r="C59" s="21">
        <v>169194</v>
      </c>
      <c r="D59" s="21">
        <v>170326</v>
      </c>
      <c r="E59" s="23">
        <f>(+C59-D59)/D59</f>
        <v>-0.006646078696147388</v>
      </c>
      <c r="F59" s="21">
        <f>+C59-79368</f>
        <v>89826</v>
      </c>
      <c r="G59" s="21">
        <f>+D59-79229</f>
        <v>91097</v>
      </c>
      <c r="H59" s="23">
        <f>(+F59-G59)/G59</f>
        <v>-0.0139521608834539</v>
      </c>
      <c r="I59" s="24">
        <f>K59/C59</f>
        <v>34.892878825490264</v>
      </c>
      <c r="J59" s="24">
        <f>K59/F59</f>
        <v>65.72335114554807</v>
      </c>
      <c r="K59" s="21">
        <v>5903665.74</v>
      </c>
      <c r="L59" s="21">
        <v>5838814.34</v>
      </c>
      <c r="M59" s="25">
        <f>(+K59-L59)/L59</f>
        <v>0.011106946757276132</v>
      </c>
      <c r="N59" s="10"/>
      <c r="R59" s="2"/>
    </row>
    <row r="60" spans="1:18" ht="15.75">
      <c r="A60" s="19"/>
      <c r="B60" s="20">
        <f>DATE(2017,10,1)</f>
        <v>43009</v>
      </c>
      <c r="C60" s="21">
        <v>167767</v>
      </c>
      <c r="D60" s="21">
        <v>175657</v>
      </c>
      <c r="E60" s="23">
        <f>(+C60-D60)/D60</f>
        <v>-0.04491708272371724</v>
      </c>
      <c r="F60" s="21">
        <f>+C60-77884</f>
        <v>89883</v>
      </c>
      <c r="G60" s="21">
        <f>+D60-84134</f>
        <v>91523</v>
      </c>
      <c r="H60" s="23">
        <f>(+F60-G60)/G60</f>
        <v>-0.017918993040000875</v>
      </c>
      <c r="I60" s="24">
        <f>K60/C60</f>
        <v>34.45476500146036</v>
      </c>
      <c r="J60" s="24">
        <f>K60/F60</f>
        <v>64.30996473192928</v>
      </c>
      <c r="K60" s="21">
        <v>5780372.56</v>
      </c>
      <c r="L60" s="21">
        <v>6097419.37</v>
      </c>
      <c r="M60" s="25">
        <f>(+K60-L60)/L60</f>
        <v>-0.051996884380285054</v>
      </c>
      <c r="N60" s="10"/>
      <c r="R60" s="2"/>
    </row>
    <row r="61" spans="1:18" ht="15.75">
      <c r="A61" s="19"/>
      <c r="B61" s="20">
        <f>DATE(2017,11,1)</f>
        <v>43040</v>
      </c>
      <c r="C61" s="21">
        <v>158513</v>
      </c>
      <c r="D61" s="21">
        <v>164706</v>
      </c>
      <c r="E61" s="23">
        <f>(+C61-D61)/D61</f>
        <v>-0.037600330285478364</v>
      </c>
      <c r="F61" s="21">
        <f>+C61-75019</f>
        <v>83494</v>
      </c>
      <c r="G61" s="21">
        <f>+D61-79591</f>
        <v>85115</v>
      </c>
      <c r="H61" s="23">
        <f>(+F61-G61)/G61</f>
        <v>-0.01904482171180168</v>
      </c>
      <c r="I61" s="24">
        <f>K61/C61</f>
        <v>36.12939885056746</v>
      </c>
      <c r="J61" s="24">
        <f>K61/F61</f>
        <v>68.59150837185906</v>
      </c>
      <c r="K61" s="21">
        <v>5726979.4</v>
      </c>
      <c r="L61" s="21">
        <v>5895263.92</v>
      </c>
      <c r="M61" s="25">
        <f>(+K61-L61)/L61</f>
        <v>-0.028545714370663756</v>
      </c>
      <c r="N61" s="10"/>
      <c r="R61" s="2"/>
    </row>
    <row r="62" spans="1:18" ht="15.75" customHeight="1" thickBot="1">
      <c r="A62" s="19"/>
      <c r="B62" s="45"/>
      <c r="C62" s="21"/>
      <c r="D62" s="21"/>
      <c r="E62" s="23"/>
      <c r="F62" s="21"/>
      <c r="G62" s="21"/>
      <c r="H62" s="23"/>
      <c r="I62" s="24"/>
      <c r="J62" s="24"/>
      <c r="K62" s="21"/>
      <c r="L62" s="21"/>
      <c r="M62" s="25"/>
      <c r="N62" s="10"/>
      <c r="R62" s="2"/>
    </row>
    <row r="63" spans="1:18" ht="17.25" customHeight="1" thickBot="1" thickTop="1">
      <c r="A63" s="39" t="s">
        <v>14</v>
      </c>
      <c r="B63" s="52"/>
      <c r="C63" s="47">
        <f>SUM(C57:C62)</f>
        <v>838695</v>
      </c>
      <c r="D63" s="48">
        <f>SUM(D57:D62)</f>
        <v>874896</v>
      </c>
      <c r="E63" s="281">
        <f>(+C63-D63)/D63</f>
        <v>-0.04137748943874472</v>
      </c>
      <c r="F63" s="48">
        <f>SUM(F57:F62)</f>
        <v>446511</v>
      </c>
      <c r="G63" s="47">
        <f>SUM(G57:G62)</f>
        <v>464425</v>
      </c>
      <c r="H63" s="53">
        <f>(+F63-G63)/G63</f>
        <v>-0.03857242827151854</v>
      </c>
      <c r="I63" s="51">
        <f>K63/C63</f>
        <v>35.189841301068924</v>
      </c>
      <c r="J63" s="50">
        <f>K63/F63</f>
        <v>66.0981340885219</v>
      </c>
      <c r="K63" s="47">
        <f>SUM(K57:K62)</f>
        <v>29513543.950000003</v>
      </c>
      <c r="L63" s="48">
        <f>SUM(L57:L62)</f>
        <v>30346812.490000002</v>
      </c>
      <c r="M63" s="44">
        <f>(+K63-L63)/L63</f>
        <v>-0.02745818989307628</v>
      </c>
      <c r="N63" s="10"/>
      <c r="R63" s="2"/>
    </row>
    <row r="64" spans="1:18" ht="15.75" customHeight="1" thickTop="1">
      <c r="A64" s="19"/>
      <c r="B64" s="45"/>
      <c r="C64" s="21"/>
      <c r="D64" s="21"/>
      <c r="E64" s="23"/>
      <c r="F64" s="21"/>
      <c r="G64" s="21"/>
      <c r="H64" s="23"/>
      <c r="I64" s="24"/>
      <c r="J64" s="24"/>
      <c r="K64" s="21"/>
      <c r="L64" s="21"/>
      <c r="M64" s="25"/>
      <c r="N64" s="10"/>
      <c r="R64" s="2"/>
    </row>
    <row r="65" spans="1:18" ht="15.75" customHeight="1">
      <c r="A65" s="19" t="s">
        <v>67</v>
      </c>
      <c r="B65" s="20">
        <f>DATE(2017,7,1)</f>
        <v>42917</v>
      </c>
      <c r="C65" s="21">
        <v>400905</v>
      </c>
      <c r="D65" s="21">
        <v>319321</v>
      </c>
      <c r="E65" s="23">
        <f>(+C65-D65)/D65</f>
        <v>0.2554921223471053</v>
      </c>
      <c r="F65" s="21">
        <f>+C65-189262</f>
        <v>211643</v>
      </c>
      <c r="G65" s="21">
        <f>+D65-152762</f>
        <v>166559</v>
      </c>
      <c r="H65" s="23">
        <f>(+F65-G65)/G65</f>
        <v>0.27067885854261853</v>
      </c>
      <c r="I65" s="24">
        <f>K65/C65</f>
        <v>31.25736536087103</v>
      </c>
      <c r="J65" s="24">
        <f>K65/F65</f>
        <v>59.20930085096129</v>
      </c>
      <c r="K65" s="21">
        <v>12531234.06</v>
      </c>
      <c r="L65" s="21">
        <v>11457006.41</v>
      </c>
      <c r="M65" s="25">
        <f>(+K65-L65)/L65</f>
        <v>0.09376163472007697</v>
      </c>
      <c r="N65" s="10"/>
      <c r="R65" s="2"/>
    </row>
    <row r="66" spans="1:18" ht="15.75" customHeight="1">
      <c r="A66" s="19"/>
      <c r="B66" s="20">
        <f>DATE(2017,8,1)</f>
        <v>42948</v>
      </c>
      <c r="C66" s="21">
        <v>332551</v>
      </c>
      <c r="D66" s="21">
        <v>298389</v>
      </c>
      <c r="E66" s="23">
        <f>(+C66-D66)/D66</f>
        <v>0.11448813461622245</v>
      </c>
      <c r="F66" s="21">
        <f>+C66-143408</f>
        <v>189143</v>
      </c>
      <c r="G66" s="21">
        <f>+D66-153359</f>
        <v>145030</v>
      </c>
      <c r="H66" s="23">
        <f>(+F66-G66)/G66</f>
        <v>0.3041646555884989</v>
      </c>
      <c r="I66" s="24">
        <f>K66/C66</f>
        <v>37.33846450619605</v>
      </c>
      <c r="J66" s="24">
        <f>K66/F66</f>
        <v>65.64844435162814</v>
      </c>
      <c r="K66" s="21">
        <v>12416943.71</v>
      </c>
      <c r="L66" s="21">
        <v>10752916.18</v>
      </c>
      <c r="M66" s="25">
        <f>(+K66-L66)/L66</f>
        <v>0.15475127882936787</v>
      </c>
      <c r="N66" s="10"/>
      <c r="R66" s="2"/>
    </row>
    <row r="67" spans="1:18" ht="15.75" customHeight="1">
      <c r="A67" s="19"/>
      <c r="B67" s="20">
        <f>DATE(2017,9,1)</f>
        <v>42979</v>
      </c>
      <c r="C67" s="21">
        <v>334430</v>
      </c>
      <c r="D67" s="21">
        <v>290533</v>
      </c>
      <c r="E67" s="23">
        <f>(+C67-D67)/D67</f>
        <v>0.1510912701827331</v>
      </c>
      <c r="F67" s="21">
        <f>+C67-144819</f>
        <v>189611</v>
      </c>
      <c r="G67" s="21">
        <f>+D67-140086</f>
        <v>150447</v>
      </c>
      <c r="H67" s="23">
        <f>(+F67-G67)/G67</f>
        <v>0.2603175869242989</v>
      </c>
      <c r="I67" s="24">
        <f>K67/C67</f>
        <v>35.36166635768322</v>
      </c>
      <c r="J67" s="24">
        <f>K67/F67</f>
        <v>62.369810190337056</v>
      </c>
      <c r="K67" s="21">
        <v>11826002.08</v>
      </c>
      <c r="L67" s="21">
        <v>10750631.65</v>
      </c>
      <c r="M67" s="25">
        <f>(+K67-L67)/L67</f>
        <v>0.10002858111132472</v>
      </c>
      <c r="N67" s="10"/>
      <c r="R67" s="2"/>
    </row>
    <row r="68" spans="1:18" ht="15.75" customHeight="1">
      <c r="A68" s="19"/>
      <c r="B68" s="20">
        <f>DATE(2017,10,1)</f>
        <v>43009</v>
      </c>
      <c r="C68" s="21">
        <v>317304</v>
      </c>
      <c r="D68" s="21">
        <v>282134</v>
      </c>
      <c r="E68" s="23">
        <f>(+C68-D68)/D68</f>
        <v>0.12465707784244366</v>
      </c>
      <c r="F68" s="21">
        <f>+C68-140483</f>
        <v>176821</v>
      </c>
      <c r="G68" s="21">
        <f>+D68-133884</f>
        <v>148250</v>
      </c>
      <c r="H68" s="23">
        <f>(+F68-G68)/G68</f>
        <v>0.19272175379426645</v>
      </c>
      <c r="I68" s="24">
        <f>K68/C68</f>
        <v>35.28505140181025</v>
      </c>
      <c r="J68" s="24">
        <f>K68/F68</f>
        <v>63.31876841551625</v>
      </c>
      <c r="K68" s="21">
        <v>11196087.95</v>
      </c>
      <c r="L68" s="21">
        <v>10577310.14</v>
      </c>
      <c r="M68" s="25">
        <f>(+K68-L68)/L68</f>
        <v>0.0585004884805239</v>
      </c>
      <c r="N68" s="10"/>
      <c r="R68" s="2"/>
    </row>
    <row r="69" spans="1:18" ht="15.75" customHeight="1">
      <c r="A69" s="19"/>
      <c r="B69" s="20">
        <f>DATE(2017,11,1)</f>
        <v>43040</v>
      </c>
      <c r="C69" s="21">
        <v>319638</v>
      </c>
      <c r="D69" s="21">
        <v>260391</v>
      </c>
      <c r="E69" s="23">
        <f>(+C69-D69)/D69</f>
        <v>0.22753090544604077</v>
      </c>
      <c r="F69" s="21">
        <f>+C69-141167</f>
        <v>178471</v>
      </c>
      <c r="G69" s="21">
        <f>+D69-121768</f>
        <v>138623</v>
      </c>
      <c r="H69" s="23">
        <f>(+F69-G69)/G69</f>
        <v>0.28745590558565315</v>
      </c>
      <c r="I69" s="24">
        <f>K69/C69</f>
        <v>37.63202848222051</v>
      </c>
      <c r="J69" s="24">
        <f>K69/F69</f>
        <v>67.3982121465112</v>
      </c>
      <c r="K69" s="21">
        <v>12028626.32</v>
      </c>
      <c r="L69" s="21">
        <v>10188193.43</v>
      </c>
      <c r="M69" s="25">
        <f>(+K69-L69)/L69</f>
        <v>0.18064369337361516</v>
      </c>
      <c r="N69" s="10"/>
      <c r="R69" s="2"/>
    </row>
    <row r="70" spans="1:18" ht="15.75" customHeight="1" thickBot="1">
      <c r="A70" s="19"/>
      <c r="B70" s="45"/>
      <c r="C70" s="21"/>
      <c r="D70" s="21"/>
      <c r="E70" s="23"/>
      <c r="F70" s="21"/>
      <c r="G70" s="21"/>
      <c r="H70" s="23"/>
      <c r="I70" s="24"/>
      <c r="J70" s="24"/>
      <c r="K70" s="21"/>
      <c r="L70" s="21"/>
      <c r="M70" s="25"/>
      <c r="N70" s="10"/>
      <c r="R70" s="2"/>
    </row>
    <row r="71" spans="1:18" ht="17.25" thickBot="1" thickTop="1">
      <c r="A71" s="39" t="s">
        <v>14</v>
      </c>
      <c r="B71" s="40"/>
      <c r="C71" s="41">
        <f>SUM(C65:C70)</f>
        <v>1704828</v>
      </c>
      <c r="D71" s="41">
        <f>SUM(D65:D70)</f>
        <v>1450768</v>
      </c>
      <c r="E71" s="280">
        <f>(+C71-D71)/D71</f>
        <v>0.17512103933916381</v>
      </c>
      <c r="F71" s="41">
        <f>SUM(F65:F70)</f>
        <v>945689</v>
      </c>
      <c r="G71" s="41">
        <f>SUM(G65:G70)</f>
        <v>748909</v>
      </c>
      <c r="H71" s="42">
        <f>(+F71-G71)/G71</f>
        <v>0.26275555508079085</v>
      </c>
      <c r="I71" s="43">
        <f>K71/C71</f>
        <v>35.1935175395993</v>
      </c>
      <c r="J71" s="43">
        <f>K71/F71</f>
        <v>63.44463573119704</v>
      </c>
      <c r="K71" s="41">
        <f>SUM(K65:K70)</f>
        <v>59998894.12</v>
      </c>
      <c r="L71" s="41">
        <f>SUM(L65:L70)</f>
        <v>53726057.81</v>
      </c>
      <c r="M71" s="44">
        <f>(+K71-L71)/L71</f>
        <v>0.1167559386579902</v>
      </c>
      <c r="N71" s="10"/>
      <c r="R71" s="2"/>
    </row>
    <row r="72" spans="1:18" ht="15.75" customHeight="1" thickTop="1">
      <c r="A72" s="54"/>
      <c r="B72" s="55"/>
      <c r="C72" s="55"/>
      <c r="D72" s="55"/>
      <c r="E72" s="56"/>
      <c r="F72" s="55"/>
      <c r="G72" s="55"/>
      <c r="H72" s="56"/>
      <c r="I72" s="55"/>
      <c r="J72" s="55"/>
      <c r="K72" s="196"/>
      <c r="L72" s="196"/>
      <c r="M72" s="57"/>
      <c r="N72" s="10"/>
      <c r="R72" s="2"/>
    </row>
    <row r="73" spans="1:18" ht="15.75" customHeight="1">
      <c r="A73" s="19" t="s">
        <v>18</v>
      </c>
      <c r="B73" s="20">
        <f>DATE(2017,7,1)</f>
        <v>42917</v>
      </c>
      <c r="C73" s="21">
        <v>402324</v>
      </c>
      <c r="D73" s="21">
        <v>443593</v>
      </c>
      <c r="E73" s="23">
        <f>(+C73-D73)/D73</f>
        <v>-0.09303347888717811</v>
      </c>
      <c r="F73" s="21">
        <f>+C73-196212</f>
        <v>206112</v>
      </c>
      <c r="G73" s="21">
        <f>+D73-216102</f>
        <v>227491</v>
      </c>
      <c r="H73" s="23">
        <f>(+F73-G73)/G73</f>
        <v>-0.09397734415867001</v>
      </c>
      <c r="I73" s="24">
        <f>K73/C73</f>
        <v>40.6170578190712</v>
      </c>
      <c r="J73" s="24">
        <f>K73/F73</f>
        <v>79.28319151723335</v>
      </c>
      <c r="K73" s="21">
        <v>16341217.17</v>
      </c>
      <c r="L73" s="21">
        <v>16992668.91</v>
      </c>
      <c r="M73" s="25">
        <f>(+K73-L73)/L73</f>
        <v>-0.03833722315489994</v>
      </c>
      <c r="N73" s="10"/>
      <c r="R73" s="2"/>
    </row>
    <row r="74" spans="1:18" ht="15.75" customHeight="1">
      <c r="A74" s="19"/>
      <c r="B74" s="20">
        <f>DATE(2017,8,1)</f>
        <v>42948</v>
      </c>
      <c r="C74" s="21">
        <v>379939</v>
      </c>
      <c r="D74" s="21">
        <v>403931</v>
      </c>
      <c r="E74" s="23">
        <f>(+C74-D74)/D74</f>
        <v>-0.05939628302853705</v>
      </c>
      <c r="F74" s="21">
        <f>+C74-185707</f>
        <v>194232</v>
      </c>
      <c r="G74" s="21">
        <f>+D74-196405</f>
        <v>207526</v>
      </c>
      <c r="H74" s="23">
        <f>(+F74-G74)/G74</f>
        <v>-0.06405944315411082</v>
      </c>
      <c r="I74" s="24">
        <f>K74/C74</f>
        <v>40.309828814625504</v>
      </c>
      <c r="J74" s="24">
        <f>K74/F74</f>
        <v>78.85042655175255</v>
      </c>
      <c r="K74" s="21">
        <v>15315276.05</v>
      </c>
      <c r="L74" s="21">
        <v>15920732.62</v>
      </c>
      <c r="M74" s="25">
        <f>(+K74-L74)/L74</f>
        <v>-0.03802944151196972</v>
      </c>
      <c r="N74" s="10"/>
      <c r="R74" s="2"/>
    </row>
    <row r="75" spans="1:18" ht="15.75" customHeight="1">
      <c r="A75" s="19"/>
      <c r="B75" s="20">
        <f>DATE(2017,9,1)</f>
        <v>42979</v>
      </c>
      <c r="C75" s="21">
        <v>384589</v>
      </c>
      <c r="D75" s="21">
        <v>412152</v>
      </c>
      <c r="E75" s="23">
        <f>(+C75-D75)/D75</f>
        <v>-0.0668758128069256</v>
      </c>
      <c r="F75" s="21">
        <f>+C75-186927</f>
        <v>197662</v>
      </c>
      <c r="G75" s="21">
        <f>+D75-198762</f>
        <v>213390</v>
      </c>
      <c r="H75" s="23">
        <f>(+F75-G75)/G75</f>
        <v>-0.07370542199728197</v>
      </c>
      <c r="I75" s="24">
        <f>K75/C75</f>
        <v>41.69974879676746</v>
      </c>
      <c r="J75" s="24">
        <f>K75/F75</f>
        <v>81.13478913498801</v>
      </c>
      <c r="K75" s="21">
        <v>16037264.69</v>
      </c>
      <c r="L75" s="21">
        <v>15877918.01</v>
      </c>
      <c r="M75" s="25">
        <f>(+K75-L75)/L75</f>
        <v>0.010035741455500796</v>
      </c>
      <c r="N75" s="10"/>
      <c r="R75" s="2"/>
    </row>
    <row r="76" spans="1:18" ht="15.75" customHeight="1">
      <c r="A76" s="19"/>
      <c r="B76" s="20">
        <f>DATE(2017,10,1)</f>
        <v>43009</v>
      </c>
      <c r="C76" s="21">
        <v>373059</v>
      </c>
      <c r="D76" s="21">
        <v>416520</v>
      </c>
      <c r="E76" s="23">
        <f>(+C76-D76)/D76</f>
        <v>-0.10434312878133103</v>
      </c>
      <c r="F76" s="21">
        <f>+C76-186100</f>
        <v>186959</v>
      </c>
      <c r="G76" s="21">
        <f>+D76-200772</f>
        <v>215748</v>
      </c>
      <c r="H76" s="23">
        <f>(+F76-G76)/G76</f>
        <v>-0.13343808517344308</v>
      </c>
      <c r="I76" s="24">
        <f>K76/C76</f>
        <v>40.919699189672414</v>
      </c>
      <c r="J76" s="24">
        <f>K76/F76</f>
        <v>81.6513891280976</v>
      </c>
      <c r="K76" s="21">
        <v>15265462.06</v>
      </c>
      <c r="L76" s="21">
        <v>16320470.64</v>
      </c>
      <c r="M76" s="25">
        <f>(+K76-L76)/L76</f>
        <v>-0.06464326938061879</v>
      </c>
      <c r="N76" s="10"/>
      <c r="R76" s="2"/>
    </row>
    <row r="77" spans="1:18" ht="15.75" customHeight="1">
      <c r="A77" s="19"/>
      <c r="B77" s="20">
        <f>DATE(2017,11,1)</f>
        <v>43040</v>
      </c>
      <c r="C77" s="21">
        <v>350526</v>
      </c>
      <c r="D77" s="21">
        <v>406238</v>
      </c>
      <c r="E77" s="23">
        <f>(+C77-D77)/D77</f>
        <v>-0.13714128171170595</v>
      </c>
      <c r="F77" s="21">
        <f>+C77-173337</f>
        <v>177189</v>
      </c>
      <c r="G77" s="21">
        <f>+D77-201694</f>
        <v>204544</v>
      </c>
      <c r="H77" s="23">
        <f>(+F77-G77)/G77</f>
        <v>-0.1337365065707134</v>
      </c>
      <c r="I77" s="24">
        <f>K77/C77</f>
        <v>42.16970943667517</v>
      </c>
      <c r="J77" s="24">
        <f>K77/F77</f>
        <v>83.42267053823883</v>
      </c>
      <c r="K77" s="21">
        <v>14781579.57</v>
      </c>
      <c r="L77" s="21">
        <v>15913149.14</v>
      </c>
      <c r="M77" s="25">
        <f>(+K77-L77)/L77</f>
        <v>-0.07110909098159815</v>
      </c>
      <c r="N77" s="10"/>
      <c r="R77" s="2"/>
    </row>
    <row r="78" spans="1:18" ht="15.75" customHeight="1" thickBot="1">
      <c r="A78" s="19"/>
      <c r="B78" s="45"/>
      <c r="C78" s="21"/>
      <c r="D78" s="21"/>
      <c r="E78" s="23"/>
      <c r="F78" s="21"/>
      <c r="G78" s="21"/>
      <c r="H78" s="23"/>
      <c r="I78" s="24"/>
      <c r="J78" s="24"/>
      <c r="K78" s="21"/>
      <c r="L78" s="21"/>
      <c r="M78" s="25"/>
      <c r="N78" s="10"/>
      <c r="R78" s="2"/>
    </row>
    <row r="79" spans="1:18" ht="17.25" thickBot="1" thickTop="1">
      <c r="A79" s="39" t="s">
        <v>14</v>
      </c>
      <c r="B79" s="40"/>
      <c r="C79" s="41">
        <f>SUM(C73:C78)</f>
        <v>1890437</v>
      </c>
      <c r="D79" s="41">
        <f>SUM(D73:D78)</f>
        <v>2082434</v>
      </c>
      <c r="E79" s="280">
        <f>(+C79-D79)/D79</f>
        <v>-0.09219836018812601</v>
      </c>
      <c r="F79" s="41">
        <f>SUM(F73:F78)</f>
        <v>962154</v>
      </c>
      <c r="G79" s="41">
        <f>SUM(G73:G78)</f>
        <v>1068699</v>
      </c>
      <c r="H79" s="42">
        <f>(+F79-G79)/G79</f>
        <v>-0.09969598549264105</v>
      </c>
      <c r="I79" s="43">
        <f>K79/C79</f>
        <v>41.12318979156671</v>
      </c>
      <c r="J79" s="43">
        <f>K79/F79</f>
        <v>80.79870742105733</v>
      </c>
      <c r="K79" s="41">
        <f>SUM(K73:K78)</f>
        <v>77740799.53999999</v>
      </c>
      <c r="L79" s="41">
        <f>SUM(L73:L78)</f>
        <v>81024939.32</v>
      </c>
      <c r="M79" s="44">
        <f>(+K79-L79)/L79</f>
        <v>-0.04053245590261556</v>
      </c>
      <c r="N79" s="10"/>
      <c r="R79" s="2"/>
    </row>
    <row r="80" spans="1:18" ht="15.75" customHeight="1" thickTop="1">
      <c r="A80" s="54"/>
      <c r="B80" s="55"/>
      <c r="C80" s="55"/>
      <c r="D80" s="55"/>
      <c r="E80" s="56"/>
      <c r="F80" s="55"/>
      <c r="G80" s="55"/>
      <c r="H80" s="56"/>
      <c r="I80" s="55"/>
      <c r="J80" s="55"/>
      <c r="K80" s="196"/>
      <c r="L80" s="196"/>
      <c r="M80" s="57"/>
      <c r="N80" s="10"/>
      <c r="R80" s="2"/>
    </row>
    <row r="81" spans="1:18" ht="15.75" customHeight="1">
      <c r="A81" s="19" t="s">
        <v>58</v>
      </c>
      <c r="B81" s="20">
        <f>DATE(2017,7,1)</f>
        <v>42917</v>
      </c>
      <c r="C81" s="21">
        <v>487621</v>
      </c>
      <c r="D81" s="21">
        <v>530171</v>
      </c>
      <c r="E81" s="23">
        <f>(+C81-D81)/D81</f>
        <v>-0.08025712458810459</v>
      </c>
      <c r="F81" s="21">
        <f>+C81-237847</f>
        <v>249774</v>
      </c>
      <c r="G81" s="21">
        <f>+D81-255599</f>
        <v>274572</v>
      </c>
      <c r="H81" s="23">
        <f>(+F81-G81)/G81</f>
        <v>-0.09031510860539312</v>
      </c>
      <c r="I81" s="24">
        <f>K81/C81</f>
        <v>40.61489082709728</v>
      </c>
      <c r="J81" s="24">
        <f>K81/F81</f>
        <v>79.29037321738852</v>
      </c>
      <c r="K81" s="21">
        <v>19804673.68</v>
      </c>
      <c r="L81" s="21">
        <v>20026177.73</v>
      </c>
      <c r="M81" s="25">
        <f>(+K81-L81)/L81</f>
        <v>-0.011060725266019136</v>
      </c>
      <c r="N81" s="10"/>
      <c r="R81" s="2"/>
    </row>
    <row r="82" spans="1:18" ht="15.75" customHeight="1">
      <c r="A82" s="19"/>
      <c r="B82" s="20">
        <f>DATE(2017,8,1)</f>
        <v>42948</v>
      </c>
      <c r="C82" s="21">
        <v>450515</v>
      </c>
      <c r="D82" s="21">
        <v>452258</v>
      </c>
      <c r="E82" s="23">
        <f>(+C82-D82)/D82</f>
        <v>-0.00385399484365119</v>
      </c>
      <c r="F82" s="21">
        <f>+C82-212107</f>
        <v>238408</v>
      </c>
      <c r="G82" s="21">
        <f>+D82-201862</f>
        <v>250396</v>
      </c>
      <c r="H82" s="23">
        <f>(+F82-G82)/G82</f>
        <v>-0.04787616415597693</v>
      </c>
      <c r="I82" s="24">
        <f>K82/C82</f>
        <v>41.2676607216186</v>
      </c>
      <c r="J82" s="24">
        <f>K82/F82</f>
        <v>77.9827026358176</v>
      </c>
      <c r="K82" s="21">
        <v>18591700.17</v>
      </c>
      <c r="L82" s="21">
        <v>17792626.65</v>
      </c>
      <c r="M82" s="25">
        <f>(+K82-L82)/L82</f>
        <v>0.044910374152093126</v>
      </c>
      <c r="N82" s="10"/>
      <c r="R82" s="2"/>
    </row>
    <row r="83" spans="1:18" ht="15.75" customHeight="1">
      <c r="A83" s="19"/>
      <c r="B83" s="20">
        <f>DATE(2017,9,1)</f>
        <v>42979</v>
      </c>
      <c r="C83" s="21">
        <v>460886</v>
      </c>
      <c r="D83" s="21">
        <v>443833</v>
      </c>
      <c r="E83" s="23">
        <f>(+C83-D83)/D83</f>
        <v>0.03842210921675495</v>
      </c>
      <c r="F83" s="21">
        <f>+C83-224636</f>
        <v>236250</v>
      </c>
      <c r="G83" s="21">
        <f>+D83-215331</f>
        <v>228502</v>
      </c>
      <c r="H83" s="23">
        <f>(+F83-G83)/G83</f>
        <v>0.03390779949409633</v>
      </c>
      <c r="I83" s="24">
        <f>K83/C83</f>
        <v>40.61222109154975</v>
      </c>
      <c r="J83" s="24">
        <f>K83/F83</f>
        <v>79.22795398941798</v>
      </c>
      <c r="K83" s="21">
        <v>18717604.13</v>
      </c>
      <c r="L83" s="21">
        <v>17971661.23</v>
      </c>
      <c r="M83" s="25">
        <f>(+K83-L83)/L83</f>
        <v>0.04150661925202551</v>
      </c>
      <c r="N83" s="10"/>
      <c r="R83" s="2"/>
    </row>
    <row r="84" spans="1:18" ht="15.75" customHeight="1">
      <c r="A84" s="19"/>
      <c r="B84" s="20">
        <f>DATE(2017,10,1)</f>
        <v>43009</v>
      </c>
      <c r="C84" s="21">
        <v>417011</v>
      </c>
      <c r="D84" s="21">
        <v>470107</v>
      </c>
      <c r="E84" s="23">
        <f>(+C84-D84)/D84</f>
        <v>-0.11294449986917872</v>
      </c>
      <c r="F84" s="21">
        <f>+C84-199528</f>
        <v>217483</v>
      </c>
      <c r="G84" s="21">
        <f>+D84-226355</f>
        <v>243752</v>
      </c>
      <c r="H84" s="23">
        <f>(+F84-G84)/G84</f>
        <v>-0.10776937214874134</v>
      </c>
      <c r="I84" s="24">
        <f>K84/C84</f>
        <v>42.63090477229618</v>
      </c>
      <c r="J84" s="24">
        <f>K84/F84</f>
        <v>81.74227976439538</v>
      </c>
      <c r="K84" s="21">
        <v>17777556.23</v>
      </c>
      <c r="L84" s="21">
        <v>19212522.4</v>
      </c>
      <c r="M84" s="25">
        <f>(+K84-L84)/L84</f>
        <v>-0.07468910849519676</v>
      </c>
      <c r="N84" s="10"/>
      <c r="R84" s="2"/>
    </row>
    <row r="85" spans="1:18" ht="15.75" customHeight="1">
      <c r="A85" s="19"/>
      <c r="B85" s="20">
        <f>DATE(2017,11,1)</f>
        <v>43040</v>
      </c>
      <c r="C85" s="21">
        <v>418366</v>
      </c>
      <c r="D85" s="21">
        <v>443959</v>
      </c>
      <c r="E85" s="23">
        <f>(+C85-D85)/D85</f>
        <v>-0.057647215170770275</v>
      </c>
      <c r="F85" s="21">
        <f>+C85-203159</f>
        <v>215207</v>
      </c>
      <c r="G85" s="21">
        <f>+D85-215969</f>
        <v>227990</v>
      </c>
      <c r="H85" s="23">
        <f>(+F85-G85)/G85</f>
        <v>-0.05606824860739506</v>
      </c>
      <c r="I85" s="24">
        <f>K85/C85</f>
        <v>42.150445997045644</v>
      </c>
      <c r="J85" s="24">
        <f>K85/F85</f>
        <v>81.94117054742642</v>
      </c>
      <c r="K85" s="21">
        <v>17634313.49</v>
      </c>
      <c r="L85" s="21">
        <v>17124542.9</v>
      </c>
      <c r="M85" s="25">
        <f>(+K85-L85)/L85</f>
        <v>0.029768420271235378</v>
      </c>
      <c r="N85" s="10"/>
      <c r="R85" s="2"/>
    </row>
    <row r="86" spans="1:18" ht="15.75" customHeight="1" thickBot="1">
      <c r="A86" s="19"/>
      <c r="B86" s="45"/>
      <c r="C86" s="21"/>
      <c r="D86" s="21"/>
      <c r="E86" s="23"/>
      <c r="F86" s="21"/>
      <c r="G86" s="21"/>
      <c r="H86" s="23"/>
      <c r="I86" s="24"/>
      <c r="J86" s="24"/>
      <c r="K86" s="21"/>
      <c r="L86" s="21"/>
      <c r="M86" s="25"/>
      <c r="N86" s="10"/>
      <c r="R86" s="2"/>
    </row>
    <row r="87" spans="1:18" ht="17.25" thickBot="1" thickTop="1">
      <c r="A87" s="39" t="s">
        <v>14</v>
      </c>
      <c r="B87" s="40"/>
      <c r="C87" s="41">
        <f>SUM(C81:C86)</f>
        <v>2234399</v>
      </c>
      <c r="D87" s="41">
        <f>SUM(D81:D86)</f>
        <v>2340328</v>
      </c>
      <c r="E87" s="280">
        <f>(+C87-D87)/D87</f>
        <v>-0.04526245893737972</v>
      </c>
      <c r="F87" s="41">
        <f>SUM(F81:F86)</f>
        <v>1157122</v>
      </c>
      <c r="G87" s="41">
        <f>SUM(G81:G86)</f>
        <v>1225212</v>
      </c>
      <c r="H87" s="42">
        <f>(+F87-G87)/G87</f>
        <v>-0.05557405575524889</v>
      </c>
      <c r="I87" s="43">
        <f>K87/C87</f>
        <v>41.40972480743144</v>
      </c>
      <c r="J87" s="43">
        <f>K87/F87</f>
        <v>79.96205041473587</v>
      </c>
      <c r="K87" s="41">
        <f>SUM(K81:K86)</f>
        <v>92525847.7</v>
      </c>
      <c r="L87" s="41">
        <f>SUM(L81:L86)</f>
        <v>92127530.91</v>
      </c>
      <c r="M87" s="44">
        <f>(+K87-L87)/L87</f>
        <v>0.00432353701510925</v>
      </c>
      <c r="N87" s="10"/>
      <c r="R87" s="2"/>
    </row>
    <row r="88" spans="1:18" ht="15.75" customHeight="1" thickTop="1">
      <c r="A88" s="58"/>
      <c r="B88" s="59"/>
      <c r="C88" s="59"/>
      <c r="D88" s="59"/>
      <c r="E88" s="60"/>
      <c r="F88" s="59"/>
      <c r="G88" s="59"/>
      <c r="H88" s="60"/>
      <c r="I88" s="59"/>
      <c r="J88" s="59"/>
      <c r="K88" s="197"/>
      <c r="L88" s="197"/>
      <c r="M88" s="61"/>
      <c r="N88" s="10"/>
      <c r="R88" s="2"/>
    </row>
    <row r="89" spans="1:18" ht="15" customHeight="1">
      <c r="A89" s="19" t="s">
        <v>59</v>
      </c>
      <c r="B89" s="20">
        <f>DATE(2017,7,1)</f>
        <v>42917</v>
      </c>
      <c r="C89" s="21">
        <v>62927</v>
      </c>
      <c r="D89" s="21">
        <v>73310</v>
      </c>
      <c r="E89" s="23">
        <f>(+C89-D89)/D89</f>
        <v>-0.14163142818169416</v>
      </c>
      <c r="F89" s="21">
        <f>+C89-30201</f>
        <v>32726</v>
      </c>
      <c r="G89" s="21">
        <f>+D89-35214</f>
        <v>38096</v>
      </c>
      <c r="H89" s="23">
        <f>(+F89-G89)/G89</f>
        <v>-0.14095968080638388</v>
      </c>
      <c r="I89" s="24">
        <f>K89/C89</f>
        <v>46.5557015271664</v>
      </c>
      <c r="J89" s="24">
        <f>K89/F89</f>
        <v>89.51936166962048</v>
      </c>
      <c r="K89" s="21">
        <v>2929610.63</v>
      </c>
      <c r="L89" s="21">
        <v>3001887.38</v>
      </c>
      <c r="M89" s="25">
        <f>(+K89-L89)/L89</f>
        <v>-0.024077102452790884</v>
      </c>
      <c r="N89" s="10"/>
      <c r="R89" s="2"/>
    </row>
    <row r="90" spans="1:18" ht="15" customHeight="1">
      <c r="A90" s="19"/>
      <c r="B90" s="20">
        <f>DATE(2017,8,1)</f>
        <v>42948</v>
      </c>
      <c r="C90" s="21">
        <v>58528</v>
      </c>
      <c r="D90" s="21">
        <v>68681</v>
      </c>
      <c r="E90" s="23">
        <f>(+C90-D90)/D90</f>
        <v>-0.1478283659236179</v>
      </c>
      <c r="F90" s="21">
        <f>+C90-27538</f>
        <v>30990</v>
      </c>
      <c r="G90" s="21">
        <f>+D90-33144</f>
        <v>35537</v>
      </c>
      <c r="H90" s="23">
        <f>(+F90-G90)/G90</f>
        <v>-0.12795114950614853</v>
      </c>
      <c r="I90" s="24">
        <f>K90/C90</f>
        <v>45.66702706396938</v>
      </c>
      <c r="J90" s="24">
        <f>K90/F90</f>
        <v>86.24716876411745</v>
      </c>
      <c r="K90" s="21">
        <v>2672799.76</v>
      </c>
      <c r="L90" s="21">
        <v>2805830.16</v>
      </c>
      <c r="M90" s="25">
        <f>(+K90-L90)/L90</f>
        <v>-0.04741213559412319</v>
      </c>
      <c r="N90" s="10"/>
      <c r="R90" s="2"/>
    </row>
    <row r="91" spans="1:18" ht="15" customHeight="1">
      <c r="A91" s="19"/>
      <c r="B91" s="20">
        <f>DATE(2017,9,1)</f>
        <v>42979</v>
      </c>
      <c r="C91" s="21">
        <v>59418</v>
      </c>
      <c r="D91" s="21">
        <v>66932</v>
      </c>
      <c r="E91" s="23">
        <f>(+C91-D91)/D91</f>
        <v>-0.11226319249387438</v>
      </c>
      <c r="F91" s="21">
        <f>+C91-28421</f>
        <v>30997</v>
      </c>
      <c r="G91" s="21">
        <f>+D91-32466</f>
        <v>34466</v>
      </c>
      <c r="H91" s="23">
        <f>(+F91-G91)/G91</f>
        <v>-0.10064991585910753</v>
      </c>
      <c r="I91" s="24">
        <f>K91/C91</f>
        <v>46.52493638291427</v>
      </c>
      <c r="J91" s="24">
        <f>K91/F91</f>
        <v>89.18342646062521</v>
      </c>
      <c r="K91" s="21">
        <v>2764418.67</v>
      </c>
      <c r="L91" s="21">
        <v>2776425.81</v>
      </c>
      <c r="M91" s="25">
        <f>(+K91-L91)/L91</f>
        <v>-0.0043246752557743046</v>
      </c>
      <c r="N91" s="10"/>
      <c r="R91" s="2"/>
    </row>
    <row r="92" spans="1:18" ht="15" customHeight="1">
      <c r="A92" s="19"/>
      <c r="B92" s="20">
        <f>DATE(2017,10,1)</f>
        <v>43009</v>
      </c>
      <c r="C92" s="21">
        <v>52864</v>
      </c>
      <c r="D92" s="21">
        <v>66855</v>
      </c>
      <c r="E92" s="23">
        <f>(+C92-D92)/D92</f>
        <v>-0.2092738015107322</v>
      </c>
      <c r="F92" s="21">
        <f>+C92-24998</f>
        <v>27866</v>
      </c>
      <c r="G92" s="21">
        <f>+D92-32784</f>
        <v>34071</v>
      </c>
      <c r="H92" s="23">
        <f>(+F92-G92)/G92</f>
        <v>-0.18211969123301341</v>
      </c>
      <c r="I92" s="24">
        <f>K92/C92</f>
        <v>48.50260025726392</v>
      </c>
      <c r="J92" s="24">
        <f>K92/F92</f>
        <v>92.01325845115912</v>
      </c>
      <c r="K92" s="21">
        <v>2564041.46</v>
      </c>
      <c r="L92" s="21">
        <v>2823578.15</v>
      </c>
      <c r="M92" s="25">
        <f>(+K92-L92)/L92</f>
        <v>-0.09191765774218078</v>
      </c>
      <c r="N92" s="10"/>
      <c r="R92" s="2"/>
    </row>
    <row r="93" spans="1:18" ht="15" customHeight="1">
      <c r="A93" s="19"/>
      <c r="B93" s="20">
        <f>DATE(2017,11,1)</f>
        <v>43040</v>
      </c>
      <c r="C93" s="21">
        <v>54003</v>
      </c>
      <c r="D93" s="21">
        <v>61969</v>
      </c>
      <c r="E93" s="23">
        <f>(+C93-D93)/D93</f>
        <v>-0.12854814504026207</v>
      </c>
      <c r="F93" s="21">
        <f>+C93-25453</f>
        <v>28550</v>
      </c>
      <c r="G93" s="21">
        <f>+D93-31011</f>
        <v>30958</v>
      </c>
      <c r="H93" s="23">
        <f>(+F93-G93)/G93</f>
        <v>-0.07778280250662188</v>
      </c>
      <c r="I93" s="24">
        <f>K93/C93</f>
        <v>46.124039220043336</v>
      </c>
      <c r="J93" s="24">
        <f>K93/F93</f>
        <v>87.24471068301227</v>
      </c>
      <c r="K93" s="21">
        <v>2490836.49</v>
      </c>
      <c r="L93" s="21">
        <v>2631435.77</v>
      </c>
      <c r="M93" s="25">
        <f>(+K93-L93)/L93</f>
        <v>-0.05343063342184476</v>
      </c>
      <c r="N93" s="10"/>
      <c r="R93" s="2"/>
    </row>
    <row r="94" spans="1:18" ht="15.75" thickBot="1">
      <c r="A94" s="38"/>
      <c r="B94" s="20"/>
      <c r="C94" s="21"/>
      <c r="D94" s="21"/>
      <c r="E94" s="23"/>
      <c r="F94" s="21"/>
      <c r="G94" s="21"/>
      <c r="H94" s="23"/>
      <c r="I94" s="24"/>
      <c r="J94" s="24"/>
      <c r="K94" s="21"/>
      <c r="L94" s="21"/>
      <c r="M94" s="25"/>
      <c r="N94" s="10"/>
      <c r="R94" s="2"/>
    </row>
    <row r="95" spans="1:18" ht="17.25" thickBot="1" thickTop="1">
      <c r="A95" s="62" t="s">
        <v>14</v>
      </c>
      <c r="B95" s="52"/>
      <c r="C95" s="48">
        <f>SUM(C89:C94)</f>
        <v>287740</v>
      </c>
      <c r="D95" s="48">
        <f>SUM(D89:D94)</f>
        <v>337747</v>
      </c>
      <c r="E95" s="280">
        <f>(+C95-D95)/D95</f>
        <v>-0.148060530515445</v>
      </c>
      <c r="F95" s="48">
        <f>SUM(F89:F94)</f>
        <v>151129</v>
      </c>
      <c r="G95" s="48">
        <f>SUM(G89:G94)</f>
        <v>173128</v>
      </c>
      <c r="H95" s="42">
        <f>(+F95-G95)/G95</f>
        <v>-0.12706783420359502</v>
      </c>
      <c r="I95" s="50">
        <f>K95/C95</f>
        <v>46.645259644123165</v>
      </c>
      <c r="J95" s="50">
        <f>K95/F95</f>
        <v>88.8096064289448</v>
      </c>
      <c r="K95" s="48">
        <f>SUM(K89:K94)</f>
        <v>13421707.01</v>
      </c>
      <c r="L95" s="48">
        <f>SUM(L89:L94)</f>
        <v>14039157.27</v>
      </c>
      <c r="M95" s="44">
        <f>(+K95-L95)/L95</f>
        <v>-0.043980578614887175</v>
      </c>
      <c r="N95" s="10"/>
      <c r="R95" s="2"/>
    </row>
    <row r="96" spans="1:18" ht="15.75" customHeight="1" thickTop="1">
      <c r="A96" s="19"/>
      <c r="B96" s="45"/>
      <c r="C96" s="21"/>
      <c r="D96" s="21"/>
      <c r="E96" s="23"/>
      <c r="F96" s="21"/>
      <c r="G96" s="21"/>
      <c r="H96" s="23"/>
      <c r="I96" s="24"/>
      <c r="J96" s="24"/>
      <c r="K96" s="21"/>
      <c r="L96" s="21"/>
      <c r="M96" s="25"/>
      <c r="N96" s="10"/>
      <c r="R96" s="2"/>
    </row>
    <row r="97" spans="1:18" ht="15.75">
      <c r="A97" s="19" t="s">
        <v>19</v>
      </c>
      <c r="B97" s="20">
        <f>DATE(2017,7,1)</f>
        <v>42917</v>
      </c>
      <c r="C97" s="21">
        <v>504680</v>
      </c>
      <c r="D97" s="21">
        <v>563540</v>
      </c>
      <c r="E97" s="23">
        <f>(+C97-D97)/D97</f>
        <v>-0.1044468893068815</v>
      </c>
      <c r="F97" s="21">
        <f>+C97-244835</f>
        <v>259845</v>
      </c>
      <c r="G97" s="21">
        <f>+D97-291099</f>
        <v>272441</v>
      </c>
      <c r="H97" s="23">
        <f>(+F97-G97)/G97</f>
        <v>-0.04623386347869814</v>
      </c>
      <c r="I97" s="24">
        <f>K97/C97</f>
        <v>47.030274470951895</v>
      </c>
      <c r="J97" s="24">
        <f>K97/F97</f>
        <v>91.34383544035869</v>
      </c>
      <c r="K97" s="21">
        <v>23735238.92</v>
      </c>
      <c r="L97" s="21">
        <v>23596498.81</v>
      </c>
      <c r="M97" s="25">
        <f>(+K97-L97)/L97</f>
        <v>0.005879690504813631</v>
      </c>
      <c r="N97" s="10"/>
      <c r="R97" s="2"/>
    </row>
    <row r="98" spans="1:18" ht="15.75">
      <c r="A98" s="19"/>
      <c r="B98" s="20">
        <f>DATE(2017,8,1)</f>
        <v>42948</v>
      </c>
      <c r="C98" s="21">
        <v>457330</v>
      </c>
      <c r="D98" s="21">
        <v>486709</v>
      </c>
      <c r="E98" s="23">
        <f>(+C98-D98)/D98</f>
        <v>-0.06036255750355962</v>
      </c>
      <c r="F98" s="21">
        <f>+C98-220324</f>
        <v>237006</v>
      </c>
      <c r="G98" s="21">
        <f>+D98-236659</f>
        <v>250050</v>
      </c>
      <c r="H98" s="23">
        <f>(+F98-G98)/G98</f>
        <v>-0.052165566886622675</v>
      </c>
      <c r="I98" s="24">
        <f>K98/C98</f>
        <v>46.80652019329587</v>
      </c>
      <c r="J98" s="24">
        <f>K98/F98</f>
        <v>90.31849775955038</v>
      </c>
      <c r="K98" s="21">
        <v>21406025.88</v>
      </c>
      <c r="L98" s="21">
        <v>20653783.03</v>
      </c>
      <c r="M98" s="25">
        <f>(+K98-L98)/L98</f>
        <v>0.0364215528413052</v>
      </c>
      <c r="N98" s="10"/>
      <c r="R98" s="2"/>
    </row>
    <row r="99" spans="1:18" ht="15.75">
      <c r="A99" s="19"/>
      <c r="B99" s="20">
        <f>DATE(2017,9,1)</f>
        <v>42979</v>
      </c>
      <c r="C99" s="21">
        <v>469827</v>
      </c>
      <c r="D99" s="21">
        <v>486459</v>
      </c>
      <c r="E99" s="23">
        <f>(+C99-D99)/D99</f>
        <v>-0.03418993173114281</v>
      </c>
      <c r="F99" s="21">
        <f>+C99-233445</f>
        <v>236382</v>
      </c>
      <c r="G99" s="21">
        <f>+D99-234302</f>
        <v>252157</v>
      </c>
      <c r="H99" s="23">
        <f>(+F99-G99)/G99</f>
        <v>-0.06256023033268955</v>
      </c>
      <c r="I99" s="24">
        <f>K99/C99</f>
        <v>46.83707909507116</v>
      </c>
      <c r="J99" s="24">
        <f>K99/F99</f>
        <v>93.09221666624362</v>
      </c>
      <c r="K99" s="21">
        <v>22005324.36</v>
      </c>
      <c r="L99" s="21">
        <v>21731947.99</v>
      </c>
      <c r="M99" s="25">
        <f>(+K99-L99)/L99</f>
        <v>0.012579469181768508</v>
      </c>
      <c r="N99" s="10"/>
      <c r="R99" s="2"/>
    </row>
    <row r="100" spans="1:18" ht="15.75">
      <c r="A100" s="19"/>
      <c r="B100" s="20">
        <f>DATE(2017,10,1)</f>
        <v>43009</v>
      </c>
      <c r="C100" s="21">
        <v>443959</v>
      </c>
      <c r="D100" s="21">
        <v>477593</v>
      </c>
      <c r="E100" s="23">
        <f>(+C100-D100)/D100</f>
        <v>-0.07042398025096683</v>
      </c>
      <c r="F100" s="21">
        <f>+C100-215005</f>
        <v>228954</v>
      </c>
      <c r="G100" s="21">
        <f>+D100-232483</f>
        <v>245110</v>
      </c>
      <c r="H100" s="23">
        <f>(+F100-G100)/G100</f>
        <v>-0.06591326343274448</v>
      </c>
      <c r="I100" s="24">
        <f>K100/C100</f>
        <v>47.42121524735392</v>
      </c>
      <c r="J100" s="24">
        <f>K100/F100</f>
        <v>91.95329760563257</v>
      </c>
      <c r="K100" s="21">
        <v>21053075.3</v>
      </c>
      <c r="L100" s="21">
        <v>21659363.64</v>
      </c>
      <c r="M100" s="25">
        <f>(+K100-L100)/L100</f>
        <v>-0.027991973821443254</v>
      </c>
      <c r="N100" s="10"/>
      <c r="R100" s="2"/>
    </row>
    <row r="101" spans="1:18" ht="15.75">
      <c r="A101" s="19"/>
      <c r="B101" s="20">
        <f>DATE(2017,11,1)</f>
        <v>43040</v>
      </c>
      <c r="C101" s="21">
        <v>438649</v>
      </c>
      <c r="D101" s="21">
        <v>459053</v>
      </c>
      <c r="E101" s="23">
        <f>(+C101-D101)/D101</f>
        <v>-0.04444802669844223</v>
      </c>
      <c r="F101" s="21">
        <f>+C101-216493</f>
        <v>222156</v>
      </c>
      <c r="G101" s="21">
        <f>+D101-224175</f>
        <v>234878</v>
      </c>
      <c r="H101" s="23">
        <f>(+F101-G101)/G101</f>
        <v>-0.054164289546062214</v>
      </c>
      <c r="I101" s="24">
        <f>K101/C101</f>
        <v>47.6679056147398</v>
      </c>
      <c r="J101" s="24">
        <f>K101/F101</f>
        <v>94.12070405480833</v>
      </c>
      <c r="K101" s="21">
        <v>20909479.13</v>
      </c>
      <c r="L101" s="21">
        <v>19929888.68</v>
      </c>
      <c r="M101" s="25">
        <f>(+K101-L101)/L101</f>
        <v>0.04915182747523501</v>
      </c>
      <c r="N101" s="10"/>
      <c r="R101" s="2"/>
    </row>
    <row r="102" spans="1:18" ht="15.75" thickBot="1">
      <c r="A102" s="38"/>
      <c r="B102" s="45"/>
      <c r="C102" s="21"/>
      <c r="D102" s="21"/>
      <c r="E102" s="23"/>
      <c r="F102" s="21"/>
      <c r="G102" s="21"/>
      <c r="H102" s="23"/>
      <c r="I102" s="24"/>
      <c r="J102" s="24"/>
      <c r="K102" s="21"/>
      <c r="L102" s="21"/>
      <c r="M102" s="25"/>
      <c r="N102" s="10"/>
      <c r="R102" s="2"/>
    </row>
    <row r="103" spans="1:18" ht="17.25" thickBot="1" thickTop="1">
      <c r="A103" s="39" t="s">
        <v>14</v>
      </c>
      <c r="B103" s="40"/>
      <c r="C103" s="41">
        <f>SUM(C97:C102)</f>
        <v>2314445</v>
      </c>
      <c r="D103" s="41">
        <f>SUM(D97:D102)</f>
        <v>2473354</v>
      </c>
      <c r="E103" s="280">
        <f>(+C103-D103)/D103</f>
        <v>-0.06424838498654055</v>
      </c>
      <c r="F103" s="41">
        <f>SUM(F97:F102)</f>
        <v>1184343</v>
      </c>
      <c r="G103" s="41">
        <f>SUM(G97:G102)</f>
        <v>1254636</v>
      </c>
      <c r="H103" s="42">
        <f>(+F103-G103)/G103</f>
        <v>-0.056026608514342005</v>
      </c>
      <c r="I103" s="43">
        <f>K103/C103</f>
        <v>47.142681545683736</v>
      </c>
      <c r="J103" s="43">
        <f>K103/F103</f>
        <v>92.12630428009453</v>
      </c>
      <c r="K103" s="41">
        <f>SUM(K97:K102)</f>
        <v>109109143.58999999</v>
      </c>
      <c r="L103" s="41">
        <f>SUM(L97:L102)</f>
        <v>107571482.15</v>
      </c>
      <c r="M103" s="44">
        <f>(+K103-L103)/L103</f>
        <v>0.014294322335875546</v>
      </c>
      <c r="N103" s="10"/>
      <c r="R103" s="2"/>
    </row>
    <row r="104" spans="1:18" ht="15.75" customHeight="1" thickTop="1">
      <c r="A104" s="19"/>
      <c r="B104" s="45"/>
      <c r="C104" s="21"/>
      <c r="D104" s="21"/>
      <c r="E104" s="23"/>
      <c r="F104" s="21"/>
      <c r="G104" s="21"/>
      <c r="H104" s="23"/>
      <c r="I104" s="24"/>
      <c r="J104" s="24"/>
      <c r="K104" s="21"/>
      <c r="L104" s="21"/>
      <c r="M104" s="25"/>
      <c r="N104" s="10"/>
      <c r="R104" s="2"/>
    </row>
    <row r="105" spans="1:18" ht="15.75">
      <c r="A105" s="19" t="s">
        <v>63</v>
      </c>
      <c r="B105" s="20">
        <f>DATE(2017,7,1)</f>
        <v>42917</v>
      </c>
      <c r="C105" s="21">
        <v>79906</v>
      </c>
      <c r="D105" s="21">
        <v>90995</v>
      </c>
      <c r="E105" s="23">
        <f>(+C105-D105)/D105</f>
        <v>-0.12186383867245452</v>
      </c>
      <c r="F105" s="21">
        <f>+C105-36860</f>
        <v>43046</v>
      </c>
      <c r="G105" s="21">
        <f>+D105-43310</f>
        <v>47685</v>
      </c>
      <c r="H105" s="23">
        <f>(+F105-G105)/G105</f>
        <v>-0.09728426129810212</v>
      </c>
      <c r="I105" s="24">
        <f>K105/C105</f>
        <v>41.48382036392761</v>
      </c>
      <c r="J105" s="24">
        <f>K105/F105</f>
        <v>77.00613645867212</v>
      </c>
      <c r="K105" s="21">
        <v>3314806.15</v>
      </c>
      <c r="L105" s="21">
        <v>3405161.57</v>
      </c>
      <c r="M105" s="25">
        <f>(+K105-L105)/L105</f>
        <v>-0.026534840753532858</v>
      </c>
      <c r="N105" s="10"/>
      <c r="R105" s="2"/>
    </row>
    <row r="106" spans="1:18" ht="15.75">
      <c r="A106" s="19"/>
      <c r="B106" s="20">
        <f>DATE(2017,8,1)</f>
        <v>42948</v>
      </c>
      <c r="C106" s="21">
        <v>79833</v>
      </c>
      <c r="D106" s="21">
        <v>81875</v>
      </c>
      <c r="E106" s="23">
        <f>(+C106-D106)/D106</f>
        <v>-0.024940458015267175</v>
      </c>
      <c r="F106" s="21">
        <f>+C106-35871</f>
        <v>43962</v>
      </c>
      <c r="G106" s="21">
        <f>+D106-38874</f>
        <v>43001</v>
      </c>
      <c r="H106" s="23">
        <f>(+F106-G106)/G106</f>
        <v>0.022348317480988814</v>
      </c>
      <c r="I106" s="24">
        <f>K106/C106</f>
        <v>40.51858166422407</v>
      </c>
      <c r="J106" s="24">
        <f>K106/F106</f>
        <v>73.5799083299213</v>
      </c>
      <c r="K106" s="21">
        <v>3234719.93</v>
      </c>
      <c r="L106" s="21">
        <v>3227442.54</v>
      </c>
      <c r="M106" s="25">
        <f>(+K106-L106)/L106</f>
        <v>0.002254847269875835</v>
      </c>
      <c r="N106" s="10"/>
      <c r="R106" s="2"/>
    </row>
    <row r="107" spans="1:18" ht="15.75">
      <c r="A107" s="19"/>
      <c r="B107" s="20">
        <f>DATE(2017,9,1)</f>
        <v>42979</v>
      </c>
      <c r="C107" s="21">
        <v>84353</v>
      </c>
      <c r="D107" s="21">
        <v>77996</v>
      </c>
      <c r="E107" s="23">
        <f>(+C107-D107)/D107</f>
        <v>0.08150417970152316</v>
      </c>
      <c r="F107" s="21">
        <f>+C107-38205</f>
        <v>46148</v>
      </c>
      <c r="G107" s="21">
        <f>+D107-37134</f>
        <v>40862</v>
      </c>
      <c r="H107" s="23">
        <f>(+F107-G107)/G107</f>
        <v>0.12936224364935636</v>
      </c>
      <c r="I107" s="24">
        <f>K107/C107</f>
        <v>41.11766030846562</v>
      </c>
      <c r="J107" s="24">
        <f>K107/F107</f>
        <v>75.15814336482622</v>
      </c>
      <c r="K107" s="21">
        <v>3468398</v>
      </c>
      <c r="L107" s="21">
        <v>3211171.21</v>
      </c>
      <c r="M107" s="25">
        <f>(+K107-L107)/L107</f>
        <v>0.08010372950497399</v>
      </c>
      <c r="N107" s="10"/>
      <c r="R107" s="2"/>
    </row>
    <row r="108" spans="1:18" ht="15.75">
      <c r="A108" s="19"/>
      <c r="B108" s="20">
        <f>DATE(2017,10,1)</f>
        <v>43009</v>
      </c>
      <c r="C108" s="21">
        <v>80014</v>
      </c>
      <c r="D108" s="21">
        <v>81415</v>
      </c>
      <c r="E108" s="23">
        <f>(+C108-D108)/D108</f>
        <v>-0.01720813117975803</v>
      </c>
      <c r="F108" s="21">
        <f>+C108-36610</f>
        <v>43404</v>
      </c>
      <c r="G108" s="21">
        <f>+D108-39008</f>
        <v>42407</v>
      </c>
      <c r="H108" s="23">
        <f>(+F108-G108)/G108</f>
        <v>0.02351026953097366</v>
      </c>
      <c r="I108" s="24">
        <f>K108/C108</f>
        <v>42.121276276651585</v>
      </c>
      <c r="J108" s="24">
        <f>K108/F108</f>
        <v>77.6493364666851</v>
      </c>
      <c r="K108" s="21">
        <v>3370291.8</v>
      </c>
      <c r="L108" s="21">
        <v>3237622.05</v>
      </c>
      <c r="M108" s="25">
        <f>(+K108-L108)/L108</f>
        <v>0.04097752855371121</v>
      </c>
      <c r="N108" s="10"/>
      <c r="R108" s="2"/>
    </row>
    <row r="109" spans="1:18" ht="15.75">
      <c r="A109" s="19"/>
      <c r="B109" s="20">
        <f>DATE(2017,11,1)</f>
        <v>43040</v>
      </c>
      <c r="C109" s="21">
        <v>81471</v>
      </c>
      <c r="D109" s="21">
        <v>79210</v>
      </c>
      <c r="E109" s="23">
        <f>(+C109-D109)/D109</f>
        <v>0.02854437571013761</v>
      </c>
      <c r="F109" s="21">
        <f>+C109-37675</f>
        <v>43796</v>
      </c>
      <c r="G109" s="21">
        <f>+D109-38642</f>
        <v>40568</v>
      </c>
      <c r="H109" s="23">
        <f>(+F109-G109)/G109</f>
        <v>0.07957010451587458</v>
      </c>
      <c r="I109" s="24">
        <f>K109/C109</f>
        <v>42.033816572768224</v>
      </c>
      <c r="J109" s="24">
        <f>K109/F109</f>
        <v>78.19291875970409</v>
      </c>
      <c r="K109" s="21">
        <v>3424537.07</v>
      </c>
      <c r="L109" s="21">
        <v>3067872.51</v>
      </c>
      <c r="M109" s="25">
        <f>(+K109-L109)/L109</f>
        <v>0.11625794710745659</v>
      </c>
      <c r="N109" s="10"/>
      <c r="R109" s="2"/>
    </row>
    <row r="110" spans="1:18" ht="15.75" thickBot="1">
      <c r="A110" s="38"/>
      <c r="B110" s="45"/>
      <c r="C110" s="21"/>
      <c r="D110" s="21"/>
      <c r="E110" s="23"/>
      <c r="F110" s="21"/>
      <c r="G110" s="21"/>
      <c r="H110" s="23"/>
      <c r="I110" s="24"/>
      <c r="J110" s="24"/>
      <c r="K110" s="21"/>
      <c r="L110" s="21"/>
      <c r="M110" s="25"/>
      <c r="N110" s="10"/>
      <c r="R110" s="2"/>
    </row>
    <row r="111" spans="1:18" ht="17.25" thickBot="1" thickTop="1">
      <c r="A111" s="26" t="s">
        <v>14</v>
      </c>
      <c r="B111" s="27"/>
      <c r="C111" s="28">
        <f>SUM(C105:C110)</f>
        <v>405577</v>
      </c>
      <c r="D111" s="28">
        <f>SUM(D105:D110)</f>
        <v>411491</v>
      </c>
      <c r="E111" s="280">
        <f>(+C111-D111)/D111</f>
        <v>-0.01437212478523224</v>
      </c>
      <c r="F111" s="28">
        <f>SUM(F105:F110)</f>
        <v>220356</v>
      </c>
      <c r="G111" s="28">
        <f>SUM(G105:G110)</f>
        <v>214523</v>
      </c>
      <c r="H111" s="42">
        <f>(+F111-G111)/G111</f>
        <v>0.027190557655822453</v>
      </c>
      <c r="I111" s="43">
        <f>K111/C111</f>
        <v>41.45391121784519</v>
      </c>
      <c r="J111" s="43">
        <f>K111/F111</f>
        <v>76.29814005518342</v>
      </c>
      <c r="K111" s="28">
        <f>SUM(K105:K110)</f>
        <v>16812752.95</v>
      </c>
      <c r="L111" s="28">
        <f>SUM(L105:L110)</f>
        <v>16149269.88</v>
      </c>
      <c r="M111" s="44">
        <f>(+K111-L111)/L111</f>
        <v>0.04108440040510354</v>
      </c>
      <c r="N111" s="10"/>
      <c r="R111" s="2"/>
    </row>
    <row r="112" spans="1:18" ht="16.5" thickBot="1" thickTop="1">
      <c r="A112" s="63"/>
      <c r="B112" s="34"/>
      <c r="C112" s="35"/>
      <c r="D112" s="35"/>
      <c r="E112" s="29"/>
      <c r="F112" s="35"/>
      <c r="G112" s="35"/>
      <c r="H112" s="29"/>
      <c r="I112" s="36"/>
      <c r="J112" s="36"/>
      <c r="K112" s="35"/>
      <c r="L112" s="35"/>
      <c r="M112" s="37"/>
      <c r="N112" s="10"/>
      <c r="R112" s="2"/>
    </row>
    <row r="113" spans="1:18" ht="17.25" thickBot="1" thickTop="1">
      <c r="A113" s="64" t="s">
        <v>20</v>
      </c>
      <c r="B113" s="65"/>
      <c r="C113" s="28">
        <f>C111+C103+C47+C63+C71+C31+C15+C79+C87+C39+C95+C23+C55</f>
        <v>16622677</v>
      </c>
      <c r="D113" s="28">
        <f>D111+D103+D47+D63+D71+D31+D15+D79+D87+D39+D95+D23+D55</f>
        <v>17152054</v>
      </c>
      <c r="E113" s="279">
        <f>(+C113-D113)/D113</f>
        <v>-0.030863767103345173</v>
      </c>
      <c r="F113" s="28">
        <f>F111+F103+F47+F63+F71+F31+F15+F79+F87+F39+F95+F23+F55</f>
        <v>8618549</v>
      </c>
      <c r="G113" s="28">
        <f>G111+G103+G47+G63+G71+G31+G15+G79+G87+G39+G95+G23+G55</f>
        <v>8799306</v>
      </c>
      <c r="H113" s="30">
        <f>(+F113-G113)/G113</f>
        <v>-0.020542188213479563</v>
      </c>
      <c r="I113" s="31">
        <f>K113/C113</f>
        <v>43.14175041360666</v>
      </c>
      <c r="J113" s="31">
        <f>K113/F113</f>
        <v>83.2079022048839</v>
      </c>
      <c r="K113" s="28">
        <f>K111+K103+K47+K63+K71+K31+K15+K79+K87+K39+K95+K23+K55</f>
        <v>717131382.3399999</v>
      </c>
      <c r="L113" s="28">
        <f>L111+L103+L47+L63+L71+L31+L15+L79+L87+L39+L95+L23+L55</f>
        <v>705224680.64</v>
      </c>
      <c r="M113" s="32">
        <f>(+K113-L113)/L113</f>
        <v>0.016883557860162313</v>
      </c>
      <c r="N113" s="10"/>
      <c r="R113" s="2"/>
    </row>
    <row r="114" spans="1:18" ht="17.25" thickBot="1" thickTop="1">
      <c r="A114" s="64"/>
      <c r="B114" s="65"/>
      <c r="C114" s="28"/>
      <c r="D114" s="28"/>
      <c r="E114" s="29"/>
      <c r="F114" s="28"/>
      <c r="G114" s="28"/>
      <c r="H114" s="30"/>
      <c r="I114" s="31"/>
      <c r="J114" s="31"/>
      <c r="K114" s="28"/>
      <c r="L114" s="28"/>
      <c r="M114" s="32"/>
      <c r="N114" s="10"/>
      <c r="R114" s="2"/>
    </row>
    <row r="115" spans="1:18" ht="17.25" thickBot="1" thickTop="1">
      <c r="A115" s="64" t="s">
        <v>21</v>
      </c>
      <c r="B115" s="65"/>
      <c r="C115" s="28">
        <f>+C13+C21+C29+C37+C45+C53+C61+C69+C77+C85+C93+C101+C109</f>
        <v>3109713</v>
      </c>
      <c r="D115" s="28">
        <f>+D13+D21+D29+D37+D45+D53+D61+D69+D77+D85+D93+D101+D109</f>
        <v>3218315</v>
      </c>
      <c r="E115" s="279">
        <f>(+C115-D115)/D115</f>
        <v>-0.03374498767212035</v>
      </c>
      <c r="F115" s="28">
        <f>+F13+F21+F29+F37+F45+F53+F61+F69+F77+F85+F93+F101+F109</f>
        <v>1602782</v>
      </c>
      <c r="G115" s="28">
        <f>+G13+G21+G29+G37+G45+G53+G61+G69+G77+G85+G93+G101+G109</f>
        <v>1642562</v>
      </c>
      <c r="H115" s="30">
        <f>(+F115-G115)/G115</f>
        <v>-0.024218263907237594</v>
      </c>
      <c r="I115" s="31">
        <f>K115/C115</f>
        <v>44.35247765951391</v>
      </c>
      <c r="J115" s="31">
        <f>K115/F115</f>
        <v>86.05254885567719</v>
      </c>
      <c r="K115" s="28">
        <f>+K13+K21+K29+K37+K45+K53+K61+K69+K77+K85+K93+K101+K109</f>
        <v>137923476.35999998</v>
      </c>
      <c r="L115" s="28">
        <f>+L13+L21+L29+L37+L45+L53+L61+L69+L77+L85+L93+L101+L109</f>
        <v>133578093.21</v>
      </c>
      <c r="M115" s="44">
        <f>(+K115-L115)/L115</f>
        <v>0.03253065712780129</v>
      </c>
      <c r="N115" s="10"/>
      <c r="R115" s="2"/>
    </row>
    <row r="116" spans="1:18" ht="15.75" thickTop="1">
      <c r="A116" s="66"/>
      <c r="B116" s="67"/>
      <c r="C116" s="68"/>
      <c r="D116" s="67"/>
      <c r="E116" s="67"/>
      <c r="F116" s="67"/>
      <c r="G116" s="67"/>
      <c r="H116" s="67"/>
      <c r="I116" s="67"/>
      <c r="J116" s="67"/>
      <c r="K116" s="68"/>
      <c r="L116" s="68"/>
      <c r="M116" s="67"/>
      <c r="R116" s="2"/>
    </row>
    <row r="117" spans="1:18" ht="18.75">
      <c r="A117" s="264" t="s">
        <v>22</v>
      </c>
      <c r="B117" s="70"/>
      <c r="C117" s="71"/>
      <c r="D117" s="71"/>
      <c r="E117" s="71"/>
      <c r="F117" s="71"/>
      <c r="G117" s="71"/>
      <c r="H117" s="71"/>
      <c r="I117" s="71"/>
      <c r="J117" s="71"/>
      <c r="K117" s="198"/>
      <c r="L117" s="198"/>
      <c r="M117" s="71"/>
      <c r="N117" s="2"/>
      <c r="O117" s="2"/>
      <c r="P117" s="2"/>
      <c r="Q117" s="2"/>
      <c r="R117" s="2"/>
    </row>
    <row r="118" spans="1:18" ht="18">
      <c r="A118" s="69"/>
      <c r="B118" s="70"/>
      <c r="C118" s="71"/>
      <c r="D118" s="71"/>
      <c r="E118" s="71"/>
      <c r="F118" s="71"/>
      <c r="G118" s="71"/>
      <c r="H118" s="71"/>
      <c r="I118" s="71"/>
      <c r="J118" s="71"/>
      <c r="K118" s="198"/>
      <c r="L118" s="198"/>
      <c r="M118" s="71"/>
      <c r="N118" s="2"/>
      <c r="O118" s="2"/>
      <c r="P118" s="2"/>
      <c r="Q118" s="2"/>
      <c r="R118" s="2"/>
    </row>
    <row r="119" spans="1:18" ht="15.75">
      <c r="A119" s="72"/>
      <c r="B119" s="73"/>
      <c r="C119" s="74"/>
      <c r="D119" s="74"/>
      <c r="E119" s="74"/>
      <c r="F119" s="74"/>
      <c r="G119" s="74"/>
      <c r="H119" s="74"/>
      <c r="I119" s="74"/>
      <c r="J119" s="74"/>
      <c r="K119" s="192"/>
      <c r="L119" s="192"/>
      <c r="M119" s="75"/>
      <c r="N119" s="2"/>
      <c r="O119" s="2"/>
      <c r="P119" s="2"/>
      <c r="Q119" s="2"/>
      <c r="R119" s="2"/>
    </row>
    <row r="120" spans="1:18" ht="15">
      <c r="A120" s="2"/>
      <c r="B120" s="73"/>
      <c r="C120" s="74"/>
      <c r="D120" s="74"/>
      <c r="E120" s="74"/>
      <c r="F120" s="74"/>
      <c r="G120" s="74"/>
      <c r="H120" s="74"/>
      <c r="I120" s="74"/>
      <c r="J120" s="74"/>
      <c r="K120" s="192"/>
      <c r="L120" s="192"/>
      <c r="M120" s="75"/>
      <c r="N120" s="2"/>
      <c r="O120" s="2"/>
      <c r="P120" s="2"/>
      <c r="Q120" s="2"/>
      <c r="R120" s="2"/>
    </row>
    <row r="121" spans="1:18" ht="15">
      <c r="A121" s="2"/>
      <c r="B121" s="73"/>
      <c r="C121" s="74"/>
      <c r="D121" s="74"/>
      <c r="E121" s="74"/>
      <c r="F121" s="74"/>
      <c r="G121" s="74"/>
      <c r="H121" s="74"/>
      <c r="I121" s="74"/>
      <c r="J121" s="74"/>
      <c r="K121" s="192"/>
      <c r="L121" s="192"/>
      <c r="M121" s="75"/>
      <c r="N121" s="2"/>
      <c r="O121" s="2"/>
      <c r="P121" s="2"/>
      <c r="Q121" s="2"/>
      <c r="R121" s="2"/>
    </row>
    <row r="122" spans="1:18" ht="15">
      <c r="A122" s="2"/>
      <c r="B122" s="73"/>
      <c r="C122" s="74"/>
      <c r="D122" s="74"/>
      <c r="E122" s="74"/>
      <c r="F122" s="74"/>
      <c r="G122" s="74"/>
      <c r="H122" s="74"/>
      <c r="I122" s="74"/>
      <c r="J122" s="74"/>
      <c r="K122" s="192"/>
      <c r="L122" s="192"/>
      <c r="M122" s="75"/>
      <c r="N122" s="2"/>
      <c r="O122" s="2"/>
      <c r="P122" s="2"/>
      <c r="Q122" s="2"/>
      <c r="R122" s="2"/>
    </row>
    <row r="123" spans="1:18" ht="15">
      <c r="A123" s="2"/>
      <c r="B123" s="73"/>
      <c r="C123" s="74"/>
      <c r="D123" s="74"/>
      <c r="E123" s="74"/>
      <c r="F123" s="74"/>
      <c r="G123" s="74"/>
      <c r="H123" s="74"/>
      <c r="I123" s="74"/>
      <c r="J123" s="74"/>
      <c r="K123" s="192"/>
      <c r="L123" s="192"/>
      <c r="M123" s="75"/>
      <c r="N123" s="2"/>
      <c r="O123" s="2"/>
      <c r="P123" s="2"/>
      <c r="Q123" s="2"/>
      <c r="R123" s="2"/>
    </row>
    <row r="124" spans="1:18" ht="15">
      <c r="A124" s="2"/>
      <c r="B124" s="73"/>
      <c r="C124" s="74"/>
      <c r="D124" s="74"/>
      <c r="E124" s="74"/>
      <c r="F124" s="74"/>
      <c r="G124" s="74"/>
      <c r="H124" s="74"/>
      <c r="I124" s="74"/>
      <c r="J124" s="74"/>
      <c r="K124" s="192"/>
      <c r="L124" s="192"/>
      <c r="M124" s="75"/>
      <c r="N124" s="2"/>
      <c r="O124" s="2"/>
      <c r="P124" s="2"/>
      <c r="Q124" s="2"/>
      <c r="R124" s="2"/>
    </row>
    <row r="125" spans="1:18" ht="15">
      <c r="A125" s="2"/>
      <c r="B125" s="73"/>
      <c r="C125" s="74"/>
      <c r="D125" s="74"/>
      <c r="E125" s="74"/>
      <c r="F125" s="74"/>
      <c r="G125" s="74"/>
      <c r="H125" s="74"/>
      <c r="I125" s="74"/>
      <c r="J125" s="74"/>
      <c r="K125" s="192"/>
      <c r="L125" s="192"/>
      <c r="M125" s="75"/>
      <c r="N125" s="2"/>
      <c r="O125" s="2"/>
      <c r="P125" s="2"/>
      <c r="Q125" s="2"/>
      <c r="R125" s="2"/>
    </row>
    <row r="126" spans="1:18" ht="15">
      <c r="A126" s="2"/>
      <c r="B126" s="73"/>
      <c r="C126" s="74"/>
      <c r="D126" s="74"/>
      <c r="E126" s="74"/>
      <c r="F126" s="74"/>
      <c r="G126" s="74"/>
      <c r="H126" s="74"/>
      <c r="I126" s="74"/>
      <c r="J126" s="74"/>
      <c r="K126" s="192"/>
      <c r="L126" s="192"/>
      <c r="M126" s="75"/>
      <c r="N126" s="2"/>
      <c r="O126" s="2"/>
      <c r="P126" s="2"/>
      <c r="Q126" s="2"/>
      <c r="R126" s="2"/>
    </row>
    <row r="127" spans="1:18" ht="15">
      <c r="A127" s="2"/>
      <c r="B127" s="73"/>
      <c r="C127" s="74"/>
      <c r="D127" s="74"/>
      <c r="E127" s="74"/>
      <c r="F127" s="74"/>
      <c r="G127" s="74"/>
      <c r="H127" s="74"/>
      <c r="I127" s="74"/>
      <c r="J127" s="74"/>
      <c r="K127" s="192"/>
      <c r="L127" s="192"/>
      <c r="M127" s="75"/>
      <c r="N127" s="2"/>
      <c r="O127" s="2"/>
      <c r="P127" s="2"/>
      <c r="Q127" s="2"/>
      <c r="R127" s="2"/>
    </row>
    <row r="128" spans="1:18" ht="15">
      <c r="A128" s="2"/>
      <c r="B128" s="73"/>
      <c r="C128" s="74"/>
      <c r="D128" s="74"/>
      <c r="E128" s="74"/>
      <c r="F128" s="74"/>
      <c r="G128" s="74"/>
      <c r="H128" s="74"/>
      <c r="I128" s="74"/>
      <c r="J128" s="74"/>
      <c r="K128" s="192"/>
      <c r="L128" s="192"/>
      <c r="M128" s="74"/>
      <c r="N128" s="2"/>
      <c r="O128" s="2"/>
      <c r="P128" s="2"/>
      <c r="Q128" s="2"/>
      <c r="R128" s="2"/>
    </row>
    <row r="129" spans="1:18" ht="15">
      <c r="A129" s="2"/>
      <c r="B129" s="73"/>
      <c r="C129" s="74"/>
      <c r="D129" s="74"/>
      <c r="E129" s="74"/>
      <c r="F129" s="74"/>
      <c r="G129" s="74"/>
      <c r="H129" s="74"/>
      <c r="I129" s="74"/>
      <c r="J129" s="74"/>
      <c r="K129" s="192"/>
      <c r="L129" s="192"/>
      <c r="M129" s="74"/>
      <c r="N129" s="2"/>
      <c r="O129" s="2"/>
      <c r="P129" s="2"/>
      <c r="Q129" s="2"/>
      <c r="R129" s="2"/>
    </row>
    <row r="130" spans="1:18" ht="15">
      <c r="A130" s="2"/>
      <c r="B130" s="70"/>
      <c r="C130" s="74"/>
      <c r="D130" s="74"/>
      <c r="E130" s="74"/>
      <c r="F130" s="74"/>
      <c r="G130" s="74"/>
      <c r="H130" s="74"/>
      <c r="I130" s="74"/>
      <c r="J130" s="74"/>
      <c r="K130" s="192"/>
      <c r="L130" s="192"/>
      <c r="M130" s="74"/>
      <c r="N130" s="2"/>
      <c r="O130" s="2"/>
      <c r="P130" s="2"/>
      <c r="Q130" s="2"/>
      <c r="R130" s="2"/>
    </row>
    <row r="131" spans="1:18" ht="15.75">
      <c r="A131" s="76"/>
      <c r="B131" s="70"/>
      <c r="C131" s="74"/>
      <c r="D131" s="74"/>
      <c r="E131" s="74"/>
      <c r="F131" s="74"/>
      <c r="G131" s="74"/>
      <c r="H131" s="74"/>
      <c r="I131" s="74"/>
      <c r="J131" s="74"/>
      <c r="K131" s="192"/>
      <c r="L131" s="192"/>
      <c r="M131" s="75"/>
      <c r="N131" s="2"/>
      <c r="O131" s="2"/>
      <c r="P131" s="2"/>
      <c r="Q131" s="2"/>
      <c r="R131" s="2"/>
    </row>
    <row r="132" spans="1:18" ht="15.75">
      <c r="A132" s="76"/>
      <c r="B132" s="70"/>
      <c r="C132" s="74"/>
      <c r="D132" s="74"/>
      <c r="E132" s="74"/>
      <c r="F132" s="74"/>
      <c r="G132" s="74"/>
      <c r="H132" s="74"/>
      <c r="I132" s="74"/>
      <c r="J132" s="74"/>
      <c r="K132" s="192"/>
      <c r="L132" s="192"/>
      <c r="M132" s="75"/>
      <c r="N132" s="2"/>
      <c r="O132" s="2"/>
      <c r="P132" s="2"/>
      <c r="Q132" s="2"/>
      <c r="R132" s="2"/>
    </row>
    <row r="133" spans="1:18" ht="15.75">
      <c r="A133" s="76"/>
      <c r="B133" s="70"/>
      <c r="C133" s="74"/>
      <c r="D133" s="74"/>
      <c r="E133" s="74"/>
      <c r="F133" s="74"/>
      <c r="G133" s="74"/>
      <c r="H133" s="74"/>
      <c r="I133" s="74"/>
      <c r="J133" s="74"/>
      <c r="K133" s="192"/>
      <c r="L133" s="192"/>
      <c r="M133" s="75"/>
      <c r="N133" s="2"/>
      <c r="O133" s="2"/>
      <c r="P133" s="2"/>
      <c r="Q133" s="2"/>
      <c r="R133" s="2"/>
    </row>
    <row r="134" spans="1:18" ht="15">
      <c r="A134" s="2"/>
      <c r="B134" s="70"/>
      <c r="C134" s="74"/>
      <c r="D134" s="74"/>
      <c r="E134" s="74"/>
      <c r="F134" s="74"/>
      <c r="G134" s="74"/>
      <c r="H134" s="74"/>
      <c r="I134" s="74"/>
      <c r="J134" s="74"/>
      <c r="K134" s="192"/>
      <c r="L134" s="192"/>
      <c r="M134" s="75"/>
      <c r="N134" s="2"/>
      <c r="O134" s="2"/>
      <c r="P134" s="2"/>
      <c r="Q134" s="2"/>
      <c r="R134" s="2"/>
    </row>
    <row r="135" spans="1:18" ht="15.75">
      <c r="A135" s="76"/>
      <c r="B135" s="73"/>
      <c r="C135" s="74"/>
      <c r="D135" s="74"/>
      <c r="E135" s="74"/>
      <c r="F135" s="74"/>
      <c r="G135" s="74"/>
      <c r="H135" s="74"/>
      <c r="I135" s="74"/>
      <c r="J135" s="74"/>
      <c r="K135" s="192"/>
      <c r="L135" s="192"/>
      <c r="M135" s="75"/>
      <c r="N135" s="2"/>
      <c r="O135" s="2"/>
      <c r="P135" s="2"/>
      <c r="Q135" s="2"/>
      <c r="R135" s="2"/>
    </row>
    <row r="136" spans="1:18" ht="15">
      <c r="A136" s="2"/>
      <c r="B136" s="73"/>
      <c r="C136" s="74"/>
      <c r="D136" s="74"/>
      <c r="E136" s="74"/>
      <c r="F136" s="74"/>
      <c r="G136" s="74"/>
      <c r="H136" s="74"/>
      <c r="I136" s="74"/>
      <c r="J136" s="74"/>
      <c r="K136" s="192"/>
      <c r="L136" s="192"/>
      <c r="M136" s="75"/>
      <c r="N136" s="2"/>
      <c r="O136" s="2"/>
      <c r="P136" s="2"/>
      <c r="Q136" s="2"/>
      <c r="R136" s="2"/>
    </row>
    <row r="137" spans="1:18" ht="15">
      <c r="A137" s="2"/>
      <c r="B137" s="73"/>
      <c r="C137" s="74"/>
      <c r="D137" s="74"/>
      <c r="E137" s="74"/>
      <c r="F137" s="74"/>
      <c r="G137" s="74"/>
      <c r="H137" s="74"/>
      <c r="I137" s="74"/>
      <c r="J137" s="74"/>
      <c r="K137" s="192"/>
      <c r="L137" s="192"/>
      <c r="M137" s="75"/>
      <c r="N137" s="2"/>
      <c r="O137" s="2"/>
      <c r="P137" s="2"/>
      <c r="Q137" s="2"/>
      <c r="R137" s="2"/>
    </row>
    <row r="138" spans="1:18" ht="15">
      <c r="A138" s="2"/>
      <c r="B138" s="77"/>
      <c r="C138" s="74"/>
      <c r="D138" s="74"/>
      <c r="E138" s="74"/>
      <c r="F138" s="74"/>
      <c r="G138" s="74"/>
      <c r="H138" s="74"/>
      <c r="I138" s="74"/>
      <c r="J138" s="74"/>
      <c r="K138" s="192"/>
      <c r="L138" s="192"/>
      <c r="M138" s="75"/>
      <c r="N138" s="2"/>
      <c r="O138" s="2"/>
      <c r="P138" s="2"/>
      <c r="Q138" s="2"/>
      <c r="R138" s="2"/>
    </row>
    <row r="139" spans="1:18" ht="15">
      <c r="A139" s="2"/>
      <c r="B139" s="77"/>
      <c r="C139" s="74"/>
      <c r="D139" s="74"/>
      <c r="E139" s="74"/>
      <c r="F139" s="74"/>
      <c r="G139" s="74"/>
      <c r="H139" s="74"/>
      <c r="I139" s="74"/>
      <c r="J139" s="74"/>
      <c r="K139" s="192"/>
      <c r="L139" s="192"/>
      <c r="M139" s="75"/>
      <c r="N139" s="2"/>
      <c r="O139" s="2"/>
      <c r="P139" s="2"/>
      <c r="Q139" s="2"/>
      <c r="R139" s="2"/>
    </row>
    <row r="140" spans="1:18" ht="15">
      <c r="A140" s="2"/>
      <c r="B140" s="77"/>
      <c r="C140" s="74"/>
      <c r="D140" s="74"/>
      <c r="E140" s="74"/>
      <c r="F140" s="74"/>
      <c r="G140" s="74"/>
      <c r="H140" s="74"/>
      <c r="I140" s="74"/>
      <c r="J140" s="74"/>
      <c r="K140" s="192"/>
      <c r="L140" s="192"/>
      <c r="M140" s="75"/>
      <c r="N140" s="2"/>
      <c r="O140" s="2"/>
      <c r="P140" s="2"/>
      <c r="Q140" s="2"/>
      <c r="R140" s="2"/>
    </row>
    <row r="141" spans="1:18" ht="15">
      <c r="A141" s="2"/>
      <c r="B141" s="77"/>
      <c r="C141" s="74"/>
      <c r="D141" s="74"/>
      <c r="E141" s="74"/>
      <c r="F141" s="74"/>
      <c r="G141" s="74"/>
      <c r="H141" s="74"/>
      <c r="I141" s="74"/>
      <c r="J141" s="74"/>
      <c r="K141" s="192"/>
      <c r="L141" s="192"/>
      <c r="M141" s="75"/>
      <c r="N141" s="2"/>
      <c r="O141" s="2"/>
      <c r="P141" s="2"/>
      <c r="Q141" s="2"/>
      <c r="R141" s="2"/>
    </row>
    <row r="142" spans="1:18" ht="15">
      <c r="A142" s="2"/>
      <c r="B142" s="77"/>
      <c r="C142" s="74"/>
      <c r="D142" s="74"/>
      <c r="E142" s="74"/>
      <c r="F142" s="74"/>
      <c r="G142" s="74"/>
      <c r="H142" s="74"/>
      <c r="I142" s="74"/>
      <c r="J142" s="74"/>
      <c r="K142" s="192"/>
      <c r="L142" s="192"/>
      <c r="M142" s="75"/>
      <c r="N142" s="2"/>
      <c r="O142" s="2"/>
      <c r="P142" s="2"/>
      <c r="Q142" s="2"/>
      <c r="R142" s="2"/>
    </row>
    <row r="143" spans="1:18" ht="15">
      <c r="A143" s="2"/>
      <c r="B143" s="77"/>
      <c r="C143" s="74"/>
      <c r="D143" s="74"/>
      <c r="E143" s="74"/>
      <c r="F143" s="74"/>
      <c r="G143" s="74"/>
      <c r="H143" s="74"/>
      <c r="I143" s="74"/>
      <c r="J143" s="74"/>
      <c r="K143" s="192"/>
      <c r="L143" s="192"/>
      <c r="M143" s="75"/>
      <c r="N143" s="2"/>
      <c r="O143" s="2"/>
      <c r="P143" s="2"/>
      <c r="Q143" s="2"/>
      <c r="R143" s="2"/>
    </row>
    <row r="144" spans="1:18" ht="15">
      <c r="A144" s="2"/>
      <c r="B144" s="77"/>
      <c r="C144" s="74"/>
      <c r="D144" s="74"/>
      <c r="E144" s="74"/>
      <c r="F144" s="74"/>
      <c r="G144" s="74"/>
      <c r="H144" s="74"/>
      <c r="I144" s="74"/>
      <c r="J144" s="74"/>
      <c r="K144" s="192"/>
      <c r="L144" s="192"/>
      <c r="M144" s="75"/>
      <c r="N144" s="2"/>
      <c r="O144" s="2"/>
      <c r="P144" s="2"/>
      <c r="Q144" s="2"/>
      <c r="R144" s="2"/>
    </row>
    <row r="145" spans="1:18" ht="15">
      <c r="A145" s="2"/>
      <c r="B145" s="77"/>
      <c r="C145" s="74"/>
      <c r="D145" s="74"/>
      <c r="E145" s="74"/>
      <c r="F145" s="74"/>
      <c r="G145" s="74"/>
      <c r="H145" s="74"/>
      <c r="I145" s="74"/>
      <c r="J145" s="74"/>
      <c r="K145" s="192"/>
      <c r="L145" s="192"/>
      <c r="M145" s="75"/>
      <c r="N145" s="2"/>
      <c r="O145" s="2"/>
      <c r="P145" s="2"/>
      <c r="Q145" s="2"/>
      <c r="R145" s="2"/>
    </row>
    <row r="146" spans="1:18" ht="15">
      <c r="A146" s="2"/>
      <c r="B146" s="77"/>
      <c r="C146" s="74"/>
      <c r="D146" s="74"/>
      <c r="E146" s="74"/>
      <c r="F146" s="74"/>
      <c r="G146" s="74"/>
      <c r="H146" s="74"/>
      <c r="I146" s="74"/>
      <c r="J146" s="74"/>
      <c r="K146" s="192"/>
      <c r="L146" s="192"/>
      <c r="M146" s="75"/>
      <c r="N146" s="2"/>
      <c r="O146" s="2"/>
      <c r="P146" s="2"/>
      <c r="Q146" s="2"/>
      <c r="R146" s="2"/>
    </row>
    <row r="147" spans="1:18" ht="15">
      <c r="A147" s="2"/>
      <c r="B147" s="2"/>
      <c r="C147" s="74"/>
      <c r="D147" s="74"/>
      <c r="E147" s="74"/>
      <c r="F147" s="74"/>
      <c r="G147" s="74"/>
      <c r="H147" s="74"/>
      <c r="I147" s="74"/>
      <c r="J147" s="74"/>
      <c r="K147" s="192"/>
      <c r="L147" s="192"/>
      <c r="M147" s="75"/>
      <c r="N147" s="2"/>
      <c r="O147" s="2"/>
      <c r="P147" s="2"/>
      <c r="Q147" s="2"/>
      <c r="R147" s="2"/>
    </row>
    <row r="148" spans="1:18" ht="15.75">
      <c r="A148" s="76"/>
      <c r="B148" s="2"/>
      <c r="C148" s="74"/>
      <c r="D148" s="74"/>
      <c r="E148" s="74"/>
      <c r="F148" s="74"/>
      <c r="G148" s="74"/>
      <c r="H148" s="74"/>
      <c r="I148" s="74"/>
      <c r="J148" s="74"/>
      <c r="K148" s="192"/>
      <c r="L148" s="192"/>
      <c r="M148" s="75"/>
      <c r="N148" s="2"/>
      <c r="O148" s="2"/>
      <c r="P148" s="2"/>
      <c r="Q148" s="2"/>
      <c r="R148" s="2"/>
    </row>
    <row r="149" spans="1:18" ht="15">
      <c r="A149" s="2"/>
      <c r="B149" s="2"/>
      <c r="C149" s="74"/>
      <c r="D149" s="74"/>
      <c r="E149" s="74"/>
      <c r="F149" s="74"/>
      <c r="G149" s="74"/>
      <c r="H149" s="74"/>
      <c r="I149" s="74"/>
      <c r="J149" s="74"/>
      <c r="K149" s="192"/>
      <c r="L149" s="192"/>
      <c r="M149" s="75"/>
      <c r="N149" s="2"/>
      <c r="O149" s="2"/>
      <c r="P149" s="2"/>
      <c r="Q149" s="2"/>
      <c r="R149" s="2"/>
    </row>
    <row r="150" spans="1:18" ht="15">
      <c r="A150" s="2"/>
      <c r="B150" s="2"/>
      <c r="C150" s="74"/>
      <c r="D150" s="74"/>
      <c r="E150" s="74"/>
      <c r="F150" s="74"/>
      <c r="G150" s="74"/>
      <c r="H150" s="74"/>
      <c r="I150" s="74"/>
      <c r="J150" s="74"/>
      <c r="K150" s="192"/>
      <c r="L150" s="192"/>
      <c r="M150" s="75"/>
      <c r="N150" s="2"/>
      <c r="O150" s="2"/>
      <c r="P150" s="2"/>
      <c r="Q150" s="2"/>
      <c r="R150" s="2"/>
    </row>
    <row r="151" spans="1:18" ht="15.75">
      <c r="A151" s="76"/>
      <c r="B151" s="2"/>
      <c r="C151" s="74"/>
      <c r="D151" s="74"/>
      <c r="E151" s="74"/>
      <c r="F151" s="74"/>
      <c r="G151" s="74"/>
      <c r="H151" s="74"/>
      <c r="I151" s="74"/>
      <c r="J151" s="74"/>
      <c r="K151" s="192"/>
      <c r="L151" s="192"/>
      <c r="M151" s="75"/>
      <c r="N151" s="2"/>
      <c r="O151" s="2"/>
      <c r="P151" s="2"/>
      <c r="Q151" s="2"/>
      <c r="R151" s="2"/>
    </row>
    <row r="152" spans="1:18" ht="15.75">
      <c r="A152" s="76"/>
      <c r="B152" s="2"/>
      <c r="C152" s="74"/>
      <c r="D152" s="74"/>
      <c r="E152" s="74"/>
      <c r="F152" s="74"/>
      <c r="G152" s="74"/>
      <c r="H152" s="74"/>
      <c r="I152" s="74"/>
      <c r="J152" s="74"/>
      <c r="K152" s="192"/>
      <c r="L152" s="192"/>
      <c r="M152" s="75"/>
      <c r="N152" s="2"/>
      <c r="O152" s="2"/>
      <c r="P152" s="2"/>
      <c r="Q152" s="2"/>
      <c r="R152" s="2"/>
    </row>
    <row r="153" spans="1:18" ht="15.75">
      <c r="A153" s="76"/>
      <c r="B153" s="77"/>
      <c r="C153" s="74"/>
      <c r="D153" s="74"/>
      <c r="E153" s="74"/>
      <c r="F153" s="74"/>
      <c r="G153" s="74"/>
      <c r="H153" s="74"/>
      <c r="I153" s="74"/>
      <c r="J153" s="74"/>
      <c r="K153" s="192"/>
      <c r="L153" s="192"/>
      <c r="M153" s="75"/>
      <c r="N153" s="2"/>
      <c r="O153" s="2"/>
      <c r="P153" s="2"/>
      <c r="Q153" s="2"/>
      <c r="R153" s="2"/>
    </row>
    <row r="154" spans="1:18" ht="15">
      <c r="A154" s="2"/>
      <c r="B154" s="77"/>
      <c r="C154" s="74"/>
      <c r="D154" s="74"/>
      <c r="E154" s="74"/>
      <c r="F154" s="74"/>
      <c r="G154" s="74"/>
      <c r="H154" s="74"/>
      <c r="I154" s="74"/>
      <c r="J154" s="74"/>
      <c r="K154" s="192"/>
      <c r="L154" s="192"/>
      <c r="M154" s="75"/>
      <c r="N154" s="2"/>
      <c r="O154" s="2"/>
      <c r="P154" s="2"/>
      <c r="Q154" s="2"/>
      <c r="R154" s="2"/>
    </row>
    <row r="155" spans="1:18" ht="15">
      <c r="A155" s="2"/>
      <c r="B155" s="77"/>
      <c r="C155" s="74"/>
      <c r="D155" s="74"/>
      <c r="E155" s="74"/>
      <c r="F155" s="74"/>
      <c r="G155" s="74"/>
      <c r="H155" s="74"/>
      <c r="I155" s="74"/>
      <c r="J155" s="74"/>
      <c r="K155" s="192"/>
      <c r="L155" s="192"/>
      <c r="M155" s="75"/>
      <c r="N155" s="2"/>
      <c r="O155" s="2"/>
      <c r="P155" s="2"/>
      <c r="Q155" s="2"/>
      <c r="R155" s="2"/>
    </row>
    <row r="156" spans="1:18" ht="15">
      <c r="A156" s="2"/>
      <c r="B156" s="77"/>
      <c r="C156" s="74"/>
      <c r="D156" s="74"/>
      <c r="E156" s="74"/>
      <c r="F156" s="74"/>
      <c r="G156" s="74"/>
      <c r="H156" s="74"/>
      <c r="I156" s="74"/>
      <c r="J156" s="74"/>
      <c r="K156" s="192"/>
      <c r="L156" s="192"/>
      <c r="M156" s="75"/>
      <c r="N156" s="2"/>
      <c r="O156" s="2"/>
      <c r="P156" s="2"/>
      <c r="Q156" s="2"/>
      <c r="R156" s="2"/>
    </row>
    <row r="157" spans="1:18" ht="15">
      <c r="A157" s="2"/>
      <c r="B157" s="77"/>
      <c r="C157" s="74"/>
      <c r="D157" s="74"/>
      <c r="E157" s="74"/>
      <c r="F157" s="74"/>
      <c r="G157" s="74"/>
      <c r="H157" s="74"/>
      <c r="I157" s="74"/>
      <c r="J157" s="74"/>
      <c r="K157" s="192"/>
      <c r="L157" s="192"/>
      <c r="M157" s="75"/>
      <c r="N157" s="2"/>
      <c r="O157" s="2"/>
      <c r="P157" s="2"/>
      <c r="Q157" s="2"/>
      <c r="R157" s="2"/>
    </row>
    <row r="158" spans="1:18" ht="15">
      <c r="A158" s="2"/>
      <c r="B158" s="77"/>
      <c r="C158" s="74"/>
      <c r="D158" s="74"/>
      <c r="E158" s="74"/>
      <c r="F158" s="74"/>
      <c r="G158" s="74"/>
      <c r="H158" s="74"/>
      <c r="I158" s="74"/>
      <c r="J158" s="74"/>
      <c r="K158" s="192"/>
      <c r="L158" s="192"/>
      <c r="M158" s="75"/>
      <c r="N158" s="2"/>
      <c r="O158" s="2"/>
      <c r="P158" s="2"/>
      <c r="Q158" s="2"/>
      <c r="R158" s="2"/>
    </row>
    <row r="159" spans="1:18" ht="15">
      <c r="A159" s="2"/>
      <c r="B159" s="77"/>
      <c r="C159" s="74"/>
      <c r="D159" s="74"/>
      <c r="E159" s="74"/>
      <c r="F159" s="74"/>
      <c r="G159" s="74"/>
      <c r="H159" s="74"/>
      <c r="I159" s="74"/>
      <c r="J159" s="74"/>
      <c r="K159" s="192"/>
      <c r="L159" s="192"/>
      <c r="M159" s="75"/>
      <c r="N159" s="2"/>
      <c r="O159" s="2"/>
      <c r="P159" s="2"/>
      <c r="Q159" s="2"/>
      <c r="R159" s="2"/>
    </row>
    <row r="160" spans="1:18" ht="15">
      <c r="A160" s="2"/>
      <c r="B160" s="77"/>
      <c r="C160" s="74"/>
      <c r="D160" s="74"/>
      <c r="E160" s="74"/>
      <c r="F160" s="74"/>
      <c r="G160" s="74"/>
      <c r="H160" s="74"/>
      <c r="I160" s="74"/>
      <c r="J160" s="74"/>
      <c r="K160" s="192"/>
      <c r="L160" s="192"/>
      <c r="M160" s="75"/>
      <c r="N160" s="2"/>
      <c r="O160" s="2"/>
      <c r="P160" s="2"/>
      <c r="Q160" s="2"/>
      <c r="R160" s="2"/>
    </row>
    <row r="161" spans="1:18" ht="15">
      <c r="A161" s="2"/>
      <c r="B161" s="77"/>
      <c r="C161" s="74"/>
      <c r="D161" s="74"/>
      <c r="E161" s="74"/>
      <c r="F161" s="74"/>
      <c r="G161" s="74"/>
      <c r="H161" s="74"/>
      <c r="I161" s="74"/>
      <c r="J161" s="74"/>
      <c r="K161" s="192"/>
      <c r="L161" s="192"/>
      <c r="M161" s="75"/>
      <c r="N161" s="2"/>
      <c r="O161" s="2"/>
      <c r="P161" s="2"/>
      <c r="Q161" s="2"/>
      <c r="R161" s="2"/>
    </row>
    <row r="162" spans="1:18" ht="15">
      <c r="A162" s="2"/>
      <c r="B162" s="77"/>
      <c r="C162" s="74"/>
      <c r="D162" s="74"/>
      <c r="E162" s="74"/>
      <c r="F162" s="74"/>
      <c r="G162" s="74"/>
      <c r="H162" s="74"/>
      <c r="I162" s="74"/>
      <c r="J162" s="74"/>
      <c r="K162" s="192"/>
      <c r="L162" s="192"/>
      <c r="M162" s="75"/>
      <c r="N162" s="2"/>
      <c r="O162" s="2"/>
      <c r="P162" s="2"/>
      <c r="Q162" s="2"/>
      <c r="R162" s="2"/>
    </row>
    <row r="163" spans="1:18" ht="15">
      <c r="A163" s="2"/>
      <c r="B163" s="77"/>
      <c r="C163" s="74"/>
      <c r="D163" s="74"/>
      <c r="E163" s="74"/>
      <c r="F163" s="74"/>
      <c r="G163" s="74"/>
      <c r="H163" s="74"/>
      <c r="I163" s="74"/>
      <c r="J163" s="74"/>
      <c r="K163" s="192"/>
      <c r="L163" s="192"/>
      <c r="M163" s="75"/>
      <c r="N163" s="2"/>
      <c r="O163" s="2"/>
      <c r="P163" s="2"/>
      <c r="Q163" s="2"/>
      <c r="R163" s="2"/>
    </row>
    <row r="164" spans="1:18" ht="15">
      <c r="A164" s="2"/>
      <c r="B164" s="77"/>
      <c r="C164" s="74"/>
      <c r="D164" s="74"/>
      <c r="E164" s="74"/>
      <c r="F164" s="74"/>
      <c r="G164" s="74"/>
      <c r="H164" s="74"/>
      <c r="I164" s="74"/>
      <c r="J164" s="74"/>
      <c r="K164" s="192"/>
      <c r="L164" s="192"/>
      <c r="M164" s="75"/>
      <c r="N164" s="2"/>
      <c r="O164" s="2"/>
      <c r="P164" s="2"/>
      <c r="Q164" s="2"/>
      <c r="R164" s="2"/>
    </row>
    <row r="165" spans="1:18" ht="15">
      <c r="A165" s="2"/>
      <c r="B165" s="2"/>
      <c r="C165" s="74"/>
      <c r="D165" s="74"/>
      <c r="E165" s="74"/>
      <c r="F165" s="74"/>
      <c r="G165" s="74"/>
      <c r="H165" s="74"/>
      <c r="I165" s="74"/>
      <c r="J165" s="74"/>
      <c r="K165" s="192"/>
      <c r="L165" s="192"/>
      <c r="M165" s="75"/>
      <c r="N165" s="2"/>
      <c r="O165" s="2"/>
      <c r="P165" s="2"/>
      <c r="Q165" s="2"/>
      <c r="R165" s="2"/>
    </row>
    <row r="166" spans="1:18" ht="15.75">
      <c r="A166" s="76"/>
      <c r="B166" s="2"/>
      <c r="C166" s="74"/>
      <c r="D166" s="74"/>
      <c r="E166" s="74"/>
      <c r="F166" s="74"/>
      <c r="G166" s="74"/>
      <c r="H166" s="74"/>
      <c r="I166" s="74"/>
      <c r="J166" s="74"/>
      <c r="K166" s="192"/>
      <c r="L166" s="192"/>
      <c r="M166" s="75"/>
      <c r="N166" s="2"/>
      <c r="O166" s="2"/>
      <c r="P166" s="2"/>
      <c r="Q166" s="2"/>
      <c r="R166" s="2"/>
    </row>
    <row r="167" spans="1:18" ht="15">
      <c r="A167" s="2"/>
      <c r="B167" s="2"/>
      <c r="C167" s="74"/>
      <c r="D167" s="74"/>
      <c r="E167" s="74"/>
      <c r="F167" s="74"/>
      <c r="G167" s="74"/>
      <c r="H167" s="74"/>
      <c r="I167" s="74"/>
      <c r="J167" s="74"/>
      <c r="K167" s="192"/>
      <c r="L167" s="192"/>
      <c r="M167" s="75"/>
      <c r="N167" s="2"/>
      <c r="O167" s="2"/>
      <c r="P167" s="2"/>
      <c r="Q167" s="2"/>
      <c r="R167" s="2"/>
    </row>
    <row r="168" spans="1:18" ht="15">
      <c r="A168" s="2"/>
      <c r="B168" s="2"/>
      <c r="C168" s="74"/>
      <c r="D168" s="74"/>
      <c r="E168" s="74"/>
      <c r="F168" s="74"/>
      <c r="G168" s="74"/>
      <c r="H168" s="74"/>
      <c r="I168" s="74"/>
      <c r="J168" s="74"/>
      <c r="K168" s="192"/>
      <c r="L168" s="192"/>
      <c r="M168" s="75"/>
      <c r="N168" s="2"/>
      <c r="O168" s="2"/>
      <c r="P168" s="2"/>
      <c r="Q168" s="2"/>
      <c r="R168" s="2"/>
    </row>
    <row r="169" spans="1:18" ht="15.75">
      <c r="A169" s="76"/>
      <c r="B169" s="77"/>
      <c r="C169" s="74"/>
      <c r="D169" s="74"/>
      <c r="E169" s="74"/>
      <c r="F169" s="74"/>
      <c r="G169" s="74"/>
      <c r="H169" s="74"/>
      <c r="I169" s="74"/>
      <c r="J169" s="74"/>
      <c r="K169" s="192"/>
      <c r="L169" s="192"/>
      <c r="M169" s="75"/>
      <c r="N169" s="2"/>
      <c r="O169" s="2"/>
      <c r="P169" s="2"/>
      <c r="Q169" s="2"/>
      <c r="R169" s="2"/>
    </row>
    <row r="170" spans="1:18" ht="15">
      <c r="A170" s="2"/>
      <c r="B170" s="77"/>
      <c r="C170" s="74"/>
      <c r="D170" s="74"/>
      <c r="E170" s="74"/>
      <c r="F170" s="74"/>
      <c r="G170" s="74"/>
      <c r="H170" s="74"/>
      <c r="I170" s="74"/>
      <c r="J170" s="74"/>
      <c r="K170" s="192"/>
      <c r="L170" s="192"/>
      <c r="M170" s="75"/>
      <c r="N170" s="2"/>
      <c r="O170" s="2"/>
      <c r="P170" s="2"/>
      <c r="Q170" s="2"/>
      <c r="R170" s="2"/>
    </row>
    <row r="171" spans="1:18" ht="15">
      <c r="A171" s="2"/>
      <c r="B171" s="77"/>
      <c r="C171" s="74"/>
      <c r="D171" s="74"/>
      <c r="E171" s="74"/>
      <c r="F171" s="74"/>
      <c r="G171" s="74"/>
      <c r="H171" s="74"/>
      <c r="I171" s="74"/>
      <c r="J171" s="74"/>
      <c r="K171" s="192"/>
      <c r="L171" s="192"/>
      <c r="M171" s="75"/>
      <c r="N171" s="2"/>
      <c r="O171" s="2"/>
      <c r="P171" s="2"/>
      <c r="Q171" s="2"/>
      <c r="R171" s="2"/>
    </row>
    <row r="172" spans="1:18" ht="15">
      <c r="A172" s="2"/>
      <c r="B172" s="2"/>
      <c r="C172" s="74"/>
      <c r="D172" s="74"/>
      <c r="E172" s="74"/>
      <c r="F172" s="74"/>
      <c r="G172" s="74"/>
      <c r="H172" s="74"/>
      <c r="I172" s="74"/>
      <c r="J172" s="74"/>
      <c r="K172" s="192"/>
      <c r="L172" s="192"/>
      <c r="M172" s="75"/>
      <c r="N172" s="2"/>
      <c r="O172" s="2"/>
      <c r="P172" s="2"/>
      <c r="Q172" s="2"/>
      <c r="R172" s="2"/>
    </row>
    <row r="173" spans="1:18" ht="15">
      <c r="A173" s="2"/>
      <c r="B173" s="2"/>
      <c r="C173" s="74"/>
      <c r="D173" s="74"/>
      <c r="E173" s="74"/>
      <c r="F173" s="74"/>
      <c r="G173" s="74"/>
      <c r="H173" s="74"/>
      <c r="I173" s="74"/>
      <c r="J173" s="74"/>
      <c r="K173" s="192"/>
      <c r="L173" s="192"/>
      <c r="M173" s="75"/>
      <c r="N173" s="2"/>
      <c r="O173" s="2"/>
      <c r="P173" s="2"/>
      <c r="Q173" s="2"/>
      <c r="R173" s="2"/>
    </row>
    <row r="174" spans="1:18" ht="15">
      <c r="A174" s="2"/>
      <c r="B174" s="2"/>
      <c r="C174" s="74"/>
      <c r="D174" s="74"/>
      <c r="E174" s="74"/>
      <c r="F174" s="74"/>
      <c r="G174" s="74"/>
      <c r="H174" s="74"/>
      <c r="I174" s="74"/>
      <c r="J174" s="74"/>
      <c r="K174" s="192"/>
      <c r="L174" s="192"/>
      <c r="M174" s="75"/>
      <c r="N174" s="2"/>
      <c r="O174" s="2"/>
      <c r="P174" s="2"/>
      <c r="Q174" s="2"/>
      <c r="R174" s="2"/>
    </row>
    <row r="175" spans="1:18" ht="15.75">
      <c r="A175" s="76"/>
      <c r="B175" s="2"/>
      <c r="C175" s="74"/>
      <c r="D175" s="74"/>
      <c r="E175" s="74"/>
      <c r="F175" s="74"/>
      <c r="G175" s="74"/>
      <c r="H175" s="74"/>
      <c r="I175" s="74"/>
      <c r="J175" s="74"/>
      <c r="K175" s="192"/>
      <c r="L175" s="192"/>
      <c r="M175" s="75"/>
      <c r="N175" s="2"/>
      <c r="O175" s="2"/>
      <c r="P175" s="2"/>
      <c r="Q175" s="2"/>
      <c r="R175" s="2"/>
    </row>
    <row r="176" spans="1:18" ht="15">
      <c r="A176" s="2"/>
      <c r="B176" s="2"/>
      <c r="C176" s="74"/>
      <c r="D176" s="74"/>
      <c r="E176" s="74"/>
      <c r="F176" s="74"/>
      <c r="G176" s="74"/>
      <c r="H176" s="74"/>
      <c r="I176" s="74"/>
      <c r="J176" s="74"/>
      <c r="K176" s="192"/>
      <c r="L176" s="192"/>
      <c r="M176" s="75"/>
      <c r="N176" s="2"/>
      <c r="O176" s="2"/>
      <c r="P176" s="2"/>
      <c r="Q176" s="2"/>
      <c r="R176" s="2"/>
    </row>
    <row r="177" spans="1:18" ht="15">
      <c r="A177" s="2"/>
      <c r="B177" s="2"/>
      <c r="C177" s="74"/>
      <c r="D177" s="74"/>
      <c r="E177" s="74"/>
      <c r="F177" s="74"/>
      <c r="G177" s="74"/>
      <c r="H177" s="74"/>
      <c r="I177" s="74"/>
      <c r="J177" s="74"/>
      <c r="K177" s="192"/>
      <c r="L177" s="192"/>
      <c r="M177" s="75"/>
      <c r="N177" s="2"/>
      <c r="O177" s="2"/>
      <c r="P177" s="2"/>
      <c r="Q177" s="2"/>
      <c r="R177" s="2"/>
    </row>
    <row r="178" spans="1:18" ht="15.75">
      <c r="A178" s="76"/>
      <c r="B178" s="76"/>
      <c r="C178" s="74"/>
      <c r="D178" s="74"/>
      <c r="E178" s="74"/>
      <c r="F178" s="74"/>
      <c r="G178" s="74"/>
      <c r="H178" s="74"/>
      <c r="I178" s="74"/>
      <c r="J178" s="74"/>
      <c r="K178" s="192"/>
      <c r="L178" s="192"/>
      <c r="M178" s="75"/>
      <c r="N178" s="2"/>
      <c r="O178" s="2"/>
      <c r="P178" s="2"/>
      <c r="Q178" s="2"/>
      <c r="R178" s="2"/>
    </row>
    <row r="179" spans="1:18" ht="15">
      <c r="A179" s="2"/>
      <c r="B179" s="2"/>
      <c r="C179" s="74"/>
      <c r="D179" s="74"/>
      <c r="E179" s="74"/>
      <c r="F179" s="74"/>
      <c r="G179" s="74"/>
      <c r="H179" s="74"/>
      <c r="I179" s="74"/>
      <c r="J179" s="74"/>
      <c r="K179" s="192"/>
      <c r="L179" s="192"/>
      <c r="M179" s="75"/>
      <c r="N179" s="2"/>
      <c r="O179" s="2"/>
      <c r="P179" s="2"/>
      <c r="Q179" s="2"/>
      <c r="R179" s="2"/>
    </row>
    <row r="180" spans="1:18" ht="15">
      <c r="A180" s="2"/>
      <c r="B180" s="2"/>
      <c r="C180" s="74"/>
      <c r="D180" s="74"/>
      <c r="E180" s="74"/>
      <c r="F180" s="74"/>
      <c r="G180" s="74"/>
      <c r="H180" s="74"/>
      <c r="I180" s="74"/>
      <c r="J180" s="74"/>
      <c r="K180" s="192"/>
      <c r="L180" s="192"/>
      <c r="M180" s="75"/>
      <c r="N180" s="2"/>
      <c r="O180" s="2"/>
      <c r="P180" s="2"/>
      <c r="Q180" s="2"/>
      <c r="R180" s="2"/>
    </row>
    <row r="181" spans="1:18" ht="15">
      <c r="A181" s="2"/>
      <c r="B181" s="2"/>
      <c r="C181" s="74"/>
      <c r="D181" s="74"/>
      <c r="E181" s="74"/>
      <c r="F181" s="74"/>
      <c r="G181" s="74"/>
      <c r="H181" s="74"/>
      <c r="I181" s="74"/>
      <c r="J181" s="74"/>
      <c r="K181" s="192"/>
      <c r="L181" s="192"/>
      <c r="M181" s="75"/>
      <c r="N181" s="2"/>
      <c r="O181" s="2"/>
      <c r="P181" s="2"/>
      <c r="Q181" s="2"/>
      <c r="R181" s="2"/>
    </row>
    <row r="182" spans="1:18" ht="15">
      <c r="A182" s="2"/>
      <c r="B182" s="2"/>
      <c r="C182" s="74"/>
      <c r="D182" s="74"/>
      <c r="E182" s="74"/>
      <c r="F182" s="74"/>
      <c r="G182" s="74"/>
      <c r="H182" s="74"/>
      <c r="I182" s="74"/>
      <c r="J182" s="74"/>
      <c r="K182" s="192"/>
      <c r="L182" s="192"/>
      <c r="M182" s="75"/>
      <c r="N182" s="2"/>
      <c r="O182" s="2"/>
      <c r="P182" s="2"/>
      <c r="Q182" s="2"/>
      <c r="R182" s="2"/>
    </row>
    <row r="183" spans="1:18" ht="15">
      <c r="A183" s="2"/>
      <c r="B183" s="2"/>
      <c r="C183" s="74"/>
      <c r="D183" s="74"/>
      <c r="E183" s="74"/>
      <c r="F183" s="74"/>
      <c r="G183" s="74"/>
      <c r="H183" s="74"/>
      <c r="I183" s="74"/>
      <c r="J183" s="74"/>
      <c r="K183" s="192"/>
      <c r="L183" s="192"/>
      <c r="M183" s="75"/>
      <c r="N183" s="2"/>
      <c r="O183" s="2"/>
      <c r="P183" s="2"/>
      <c r="Q183" s="2"/>
      <c r="R183" s="2"/>
    </row>
    <row r="184" spans="1:18" ht="15">
      <c r="A184" s="2"/>
      <c r="B184" s="2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ht="15">
      <c r="A185" s="2"/>
      <c r="B185" s="2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ht="15">
      <c r="A186" s="2"/>
      <c r="B186" s="2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ht="15">
      <c r="A187" s="2"/>
      <c r="B187" s="2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ht="15">
      <c r="A188" s="2"/>
      <c r="B188" s="2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ht="15">
      <c r="A189" s="2"/>
      <c r="B189" s="2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ht="15">
      <c r="A190" s="2"/>
      <c r="B190" s="2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ht="15">
      <c r="A191" s="2"/>
      <c r="B191" s="2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ht="15">
      <c r="A192" s="2"/>
      <c r="B192" s="2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ht="15">
      <c r="A193" s="2"/>
      <c r="B193" s="2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5"/>
      <c r="N193" s="2"/>
      <c r="O193" s="2"/>
      <c r="P193" s="2"/>
      <c r="Q193" s="2"/>
      <c r="R193" s="2"/>
    </row>
    <row r="194" spans="1:18" ht="15">
      <c r="A194" s="2"/>
      <c r="B194" s="2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5"/>
      <c r="N194" s="2"/>
      <c r="O194" s="2"/>
      <c r="P194" s="2"/>
      <c r="Q194" s="2"/>
      <c r="R194" s="2"/>
    </row>
    <row r="195" spans="1:18" ht="15">
      <c r="A195" s="2"/>
      <c r="B195" s="2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5"/>
      <c r="N195" s="2"/>
      <c r="O195" s="2"/>
      <c r="P195" s="2"/>
      <c r="Q195" s="2"/>
      <c r="R195" s="2"/>
    </row>
    <row r="196" spans="1:18" ht="15">
      <c r="A196" s="2"/>
      <c r="B196" s="2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ht="15">
      <c r="A197" s="2"/>
      <c r="B197" s="2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ht="15">
      <c r="A198" s="2"/>
      <c r="B198" s="2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ht="15">
      <c r="A199" s="2"/>
      <c r="B199" s="2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ht="15">
      <c r="A200" s="2"/>
      <c r="B200" s="2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ht="15">
      <c r="A201" s="2"/>
      <c r="B201" s="2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ht="15">
      <c r="A202" s="2"/>
      <c r="B202" s="2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ht="15">
      <c r="A203" s="2"/>
      <c r="B203" s="2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ht="15">
      <c r="A204" s="2"/>
      <c r="B204" s="2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ht="15">
      <c r="A205" s="2"/>
      <c r="B205" s="2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ht="15">
      <c r="A206" s="2"/>
      <c r="B206" s="2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ht="15">
      <c r="A207" s="2"/>
      <c r="B207" s="2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ht="15">
      <c r="A208" s="2"/>
      <c r="B208" s="2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ht="15">
      <c r="A209" s="2"/>
      <c r="B209" s="2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ht="15">
      <c r="A210" s="2"/>
      <c r="B210" s="2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ht="15">
      <c r="A211" s="2"/>
      <c r="B211" s="2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ht="15">
      <c r="A212" s="2"/>
      <c r="B212" s="2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ht="15">
      <c r="A213" s="2"/>
      <c r="B213" s="2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ht="15">
      <c r="A214" s="2"/>
      <c r="B214" s="2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ht="15">
      <c r="A215" s="2"/>
      <c r="B215" s="2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ht="15">
      <c r="A216" s="2"/>
      <c r="B216" s="2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ht="15">
      <c r="A217" s="2"/>
      <c r="B217" s="2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ht="15">
      <c r="A218" s="2"/>
      <c r="B218" s="2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ht="15">
      <c r="A219" s="2"/>
      <c r="B219" s="2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ht="15">
      <c r="A220" s="2"/>
      <c r="B220" s="2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ht="15">
      <c r="A221" s="2"/>
      <c r="B221" s="2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ht="15">
      <c r="A222" s="2"/>
      <c r="B222" s="2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ht="15">
      <c r="A223" s="2"/>
      <c r="B223" s="2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ht="15">
      <c r="A224" s="2"/>
      <c r="B224" s="2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ht="15">
      <c r="A225" s="2"/>
      <c r="B225" s="2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ht="15">
      <c r="A226" s="2"/>
      <c r="B226" s="2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ht="15">
      <c r="A227" s="2"/>
      <c r="B227" s="2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ht="15">
      <c r="A228" s="2"/>
      <c r="B228" s="2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ht="15">
      <c r="A229" s="2"/>
      <c r="B229" s="2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ht="15">
      <c r="A230" s="2"/>
      <c r="B230" s="2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ht="15">
      <c r="A231" s="2"/>
      <c r="B231" s="2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ht="15">
      <c r="A232" s="2"/>
      <c r="B232" s="2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ht="15">
      <c r="A233" s="2"/>
      <c r="B233" s="2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ht="15">
      <c r="A234" s="2"/>
      <c r="B234" s="2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ht="15">
      <c r="A235" s="2"/>
      <c r="B235" s="2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ht="15">
      <c r="A236" s="2"/>
      <c r="B236" s="2"/>
      <c r="C236" s="74"/>
      <c r="D236" s="74"/>
      <c r="E236" s="74"/>
      <c r="F236" s="74"/>
      <c r="G236" s="74"/>
      <c r="H236" s="74"/>
      <c r="I236" s="74"/>
      <c r="J236" s="74"/>
      <c r="K236" s="192"/>
      <c r="L236" s="192"/>
      <c r="M236" s="75"/>
      <c r="N236" s="2"/>
      <c r="O236" s="2"/>
      <c r="P236" s="2"/>
      <c r="Q236" s="2"/>
      <c r="R236" s="2"/>
    </row>
    <row r="237" spans="1:18" ht="15">
      <c r="A237" s="2"/>
      <c r="B237" s="2"/>
      <c r="C237" s="74"/>
      <c r="D237" s="74"/>
      <c r="E237" s="74"/>
      <c r="F237" s="74"/>
      <c r="G237" s="74"/>
      <c r="H237" s="74"/>
      <c r="I237" s="74"/>
      <c r="J237" s="74"/>
      <c r="K237" s="192"/>
      <c r="L237" s="192"/>
      <c r="M237" s="75"/>
      <c r="N237" s="2"/>
      <c r="O237" s="2"/>
      <c r="P237" s="2"/>
      <c r="Q237" s="2"/>
      <c r="R237" s="2"/>
    </row>
    <row r="238" spans="1:18" ht="15">
      <c r="A238" s="2"/>
      <c r="B238" s="2"/>
      <c r="C238" s="74"/>
      <c r="D238" s="74"/>
      <c r="E238" s="74"/>
      <c r="F238" s="74"/>
      <c r="G238" s="74"/>
      <c r="H238" s="74"/>
      <c r="I238" s="74"/>
      <c r="J238" s="74"/>
      <c r="K238" s="192"/>
      <c r="L238" s="192"/>
      <c r="M238" s="75"/>
      <c r="N238" s="2"/>
      <c r="O238" s="2"/>
      <c r="P238" s="2"/>
      <c r="Q238" s="2"/>
      <c r="R238" s="2"/>
    </row>
    <row r="239" spans="1:18" ht="15">
      <c r="A239" s="2"/>
      <c r="B239" s="2"/>
      <c r="C239" s="74"/>
      <c r="D239" s="74"/>
      <c r="E239" s="74"/>
      <c r="F239" s="74"/>
      <c r="G239" s="74"/>
      <c r="H239" s="74"/>
      <c r="I239" s="74"/>
      <c r="J239" s="74"/>
      <c r="K239" s="192"/>
      <c r="L239" s="192"/>
      <c r="M239" s="75"/>
      <c r="N239" s="2"/>
      <c r="O239" s="2"/>
      <c r="P239" s="2"/>
      <c r="Q239" s="2"/>
      <c r="R239" s="2"/>
    </row>
    <row r="240" spans="1:18" ht="15">
      <c r="A240" s="2"/>
      <c r="B240" s="2"/>
      <c r="C240" s="74"/>
      <c r="D240" s="74"/>
      <c r="E240" s="74"/>
      <c r="F240" s="74"/>
      <c r="G240" s="74"/>
      <c r="H240" s="74"/>
      <c r="I240" s="74"/>
      <c r="J240" s="74"/>
      <c r="K240" s="192"/>
      <c r="L240" s="192"/>
      <c r="M240" s="75"/>
      <c r="N240" s="2"/>
      <c r="O240" s="2"/>
      <c r="P240" s="2"/>
      <c r="Q240" s="2"/>
      <c r="R240" s="2"/>
    </row>
    <row r="241" spans="1:18" ht="15">
      <c r="A241" s="2"/>
      <c r="B241" s="2"/>
      <c r="C241" s="74"/>
      <c r="D241" s="74"/>
      <c r="E241" s="74"/>
      <c r="F241" s="74"/>
      <c r="G241" s="74"/>
      <c r="H241" s="74"/>
      <c r="I241" s="74"/>
      <c r="J241" s="74"/>
      <c r="K241" s="192"/>
      <c r="L241" s="192"/>
      <c r="M241" s="75"/>
      <c r="N241" s="2"/>
      <c r="O241" s="2"/>
      <c r="P241" s="2"/>
      <c r="Q241" s="2"/>
      <c r="R241" s="2"/>
    </row>
    <row r="242" spans="1:18" ht="15">
      <c r="A242" s="2"/>
      <c r="B242" s="2"/>
      <c r="C242" s="74"/>
      <c r="D242" s="74"/>
      <c r="E242" s="74"/>
      <c r="F242" s="74"/>
      <c r="G242" s="74"/>
      <c r="H242" s="74"/>
      <c r="I242" s="74"/>
      <c r="J242" s="74"/>
      <c r="K242" s="192"/>
      <c r="L242" s="192"/>
      <c r="M242" s="75"/>
      <c r="N242" s="2"/>
      <c r="O242" s="2"/>
      <c r="P242" s="2"/>
      <c r="Q242" s="2"/>
      <c r="R242" s="2"/>
    </row>
    <row r="243" spans="1:18" ht="15">
      <c r="A243" s="2"/>
      <c r="B243" s="2"/>
      <c r="C243" s="74"/>
      <c r="D243" s="74"/>
      <c r="E243" s="74"/>
      <c r="F243" s="74"/>
      <c r="G243" s="74"/>
      <c r="H243" s="74"/>
      <c r="I243" s="74"/>
      <c r="J243" s="74"/>
      <c r="K243" s="192"/>
      <c r="L243" s="192"/>
      <c r="M243" s="75"/>
      <c r="N243" s="2"/>
      <c r="O243" s="2"/>
      <c r="P243" s="2"/>
      <c r="Q243" s="2"/>
      <c r="R243" s="2"/>
    </row>
    <row r="244" spans="1:18" ht="15">
      <c r="A244" s="2"/>
      <c r="B244" s="2"/>
      <c r="C244" s="74"/>
      <c r="D244" s="74"/>
      <c r="E244" s="74"/>
      <c r="F244" s="74"/>
      <c r="G244" s="74"/>
      <c r="H244" s="74"/>
      <c r="I244" s="74"/>
      <c r="J244" s="74"/>
      <c r="K244" s="192"/>
      <c r="L244" s="192"/>
      <c r="M244" s="75"/>
      <c r="N244" s="2"/>
      <c r="O244" s="2"/>
      <c r="P244" s="2"/>
      <c r="Q244" s="2"/>
      <c r="R244" s="2"/>
    </row>
    <row r="245" spans="1:18" ht="15">
      <c r="A245" s="2"/>
      <c r="B245" s="2"/>
      <c r="C245" s="74"/>
      <c r="D245" s="74"/>
      <c r="E245" s="74"/>
      <c r="F245" s="74"/>
      <c r="G245" s="74"/>
      <c r="H245" s="74"/>
      <c r="I245" s="74"/>
      <c r="J245" s="74"/>
      <c r="K245" s="192"/>
      <c r="L245" s="192"/>
      <c r="M245" s="75"/>
      <c r="N245" s="2"/>
      <c r="O245" s="2"/>
      <c r="P245" s="2"/>
      <c r="Q245" s="2"/>
      <c r="R245" s="2"/>
    </row>
    <row r="246" spans="1:18" ht="15">
      <c r="A246" s="2"/>
      <c r="B246" s="2"/>
      <c r="C246" s="74"/>
      <c r="D246" s="74"/>
      <c r="E246" s="74"/>
      <c r="F246" s="74"/>
      <c r="G246" s="74"/>
      <c r="H246" s="74"/>
      <c r="I246" s="74"/>
      <c r="J246" s="74"/>
      <c r="K246" s="192"/>
      <c r="L246" s="192"/>
      <c r="M246" s="75"/>
      <c r="N246" s="2"/>
      <c r="O246" s="2"/>
      <c r="P246" s="2"/>
      <c r="Q246" s="2"/>
      <c r="R246" s="2"/>
    </row>
    <row r="247" spans="1:18" ht="15">
      <c r="A247" s="2"/>
      <c r="B247" s="2"/>
      <c r="C247" s="74"/>
      <c r="D247" s="74"/>
      <c r="E247" s="74"/>
      <c r="F247" s="74"/>
      <c r="G247" s="74"/>
      <c r="H247" s="74"/>
      <c r="I247" s="74"/>
      <c r="J247" s="74"/>
      <c r="K247" s="192"/>
      <c r="L247" s="192"/>
      <c r="M247" s="75"/>
      <c r="N247" s="2"/>
      <c r="O247" s="2"/>
      <c r="P247" s="2"/>
      <c r="Q247" s="2"/>
      <c r="R247" s="2"/>
    </row>
    <row r="248" spans="1:18" ht="15">
      <c r="A248" s="2"/>
      <c r="B248" s="2"/>
      <c r="C248" s="74"/>
      <c r="D248" s="74"/>
      <c r="E248" s="74"/>
      <c r="F248" s="74"/>
      <c r="G248" s="74"/>
      <c r="H248" s="74"/>
      <c r="I248" s="74"/>
      <c r="J248" s="74"/>
      <c r="K248" s="192"/>
      <c r="L248" s="192"/>
      <c r="M248" s="75"/>
      <c r="N248" s="2"/>
      <c r="O248" s="2"/>
      <c r="P248" s="2"/>
      <c r="Q248" s="2"/>
      <c r="R248" s="2"/>
    </row>
    <row r="249" spans="1:18" ht="15">
      <c r="A249" s="2"/>
      <c r="B249" s="2"/>
      <c r="C249" s="74"/>
      <c r="D249" s="74"/>
      <c r="E249" s="74"/>
      <c r="F249" s="74"/>
      <c r="G249" s="74"/>
      <c r="H249" s="74"/>
      <c r="I249" s="74"/>
      <c r="J249" s="74"/>
      <c r="K249" s="192"/>
      <c r="L249" s="192"/>
      <c r="M249" s="75"/>
      <c r="N249" s="2"/>
      <c r="O249" s="2"/>
      <c r="P249" s="2"/>
      <c r="Q249" s="2"/>
      <c r="R249" s="2"/>
    </row>
    <row r="250" spans="1:18" ht="15">
      <c r="A250" s="2"/>
      <c r="B250" s="2"/>
      <c r="C250" s="74"/>
      <c r="D250" s="74"/>
      <c r="E250" s="74"/>
      <c r="F250" s="74"/>
      <c r="G250" s="74"/>
      <c r="H250" s="74"/>
      <c r="I250" s="74"/>
      <c r="J250" s="74"/>
      <c r="K250" s="192"/>
      <c r="L250" s="192"/>
      <c r="M250" s="75"/>
      <c r="N250" s="2"/>
      <c r="O250" s="2"/>
      <c r="P250" s="2"/>
      <c r="Q250" s="2"/>
      <c r="R250" s="2"/>
    </row>
    <row r="251" spans="1:18" ht="15">
      <c r="A251" s="2"/>
      <c r="B251" s="2"/>
      <c r="C251" s="74"/>
      <c r="D251" s="74"/>
      <c r="E251" s="74"/>
      <c r="F251" s="74"/>
      <c r="G251" s="74"/>
      <c r="H251" s="74"/>
      <c r="I251" s="74"/>
      <c r="J251" s="74"/>
      <c r="K251" s="192"/>
      <c r="L251" s="192"/>
      <c r="M251" s="75"/>
      <c r="N251" s="2"/>
      <c r="O251" s="2"/>
      <c r="P251" s="2"/>
      <c r="Q251" s="2"/>
      <c r="R251" s="2"/>
    </row>
    <row r="252" spans="1:18" ht="15">
      <c r="A252" s="2"/>
      <c r="B252" s="2"/>
      <c r="C252" s="74"/>
      <c r="D252" s="74"/>
      <c r="E252" s="74"/>
      <c r="F252" s="74"/>
      <c r="G252" s="74"/>
      <c r="H252" s="74"/>
      <c r="I252" s="74"/>
      <c r="J252" s="74"/>
      <c r="K252" s="192"/>
      <c r="L252" s="192"/>
      <c r="M252" s="75"/>
      <c r="N252" s="2"/>
      <c r="O252" s="2"/>
      <c r="P252" s="2"/>
      <c r="Q252" s="2"/>
      <c r="R252" s="2"/>
    </row>
    <row r="253" spans="1:18" ht="15">
      <c r="A253" s="2"/>
      <c r="B253" s="2"/>
      <c r="C253" s="74"/>
      <c r="D253" s="74"/>
      <c r="E253" s="74"/>
      <c r="F253" s="74"/>
      <c r="G253" s="74"/>
      <c r="H253" s="74"/>
      <c r="I253" s="74"/>
      <c r="J253" s="74"/>
      <c r="K253" s="192"/>
      <c r="L253" s="192"/>
      <c r="M253" s="75"/>
      <c r="N253" s="2"/>
      <c r="O253" s="2"/>
      <c r="P253" s="2"/>
      <c r="Q253" s="2"/>
      <c r="R253" s="2"/>
    </row>
    <row r="254" spans="1:18" ht="15">
      <c r="A254" s="2"/>
      <c r="B254" s="2"/>
      <c r="C254" s="74"/>
      <c r="D254" s="74"/>
      <c r="E254" s="74"/>
      <c r="F254" s="74"/>
      <c r="G254" s="74"/>
      <c r="H254" s="74"/>
      <c r="I254" s="74"/>
      <c r="J254" s="74"/>
      <c r="K254" s="192"/>
      <c r="L254" s="192"/>
      <c r="M254" s="75"/>
      <c r="N254" s="2"/>
      <c r="O254" s="2"/>
      <c r="P254" s="2"/>
      <c r="Q254" s="2"/>
      <c r="R254" s="2"/>
    </row>
    <row r="255" spans="1:18" ht="15">
      <c r="A255" s="2"/>
      <c r="B255" s="2"/>
      <c r="C255" s="74"/>
      <c r="D255" s="74"/>
      <c r="E255" s="74"/>
      <c r="F255" s="74"/>
      <c r="G255" s="74"/>
      <c r="H255" s="74"/>
      <c r="I255" s="74"/>
      <c r="J255" s="74"/>
      <c r="K255" s="192"/>
      <c r="L255" s="192"/>
      <c r="M255" s="75"/>
      <c r="N255" s="2"/>
      <c r="O255" s="2"/>
      <c r="P255" s="2"/>
      <c r="Q255" s="2"/>
      <c r="R255" s="2"/>
    </row>
    <row r="256" spans="1:18" ht="15">
      <c r="A256" s="2"/>
      <c r="B256" s="2"/>
      <c r="C256" s="74"/>
      <c r="D256" s="74"/>
      <c r="E256" s="74"/>
      <c r="F256" s="74"/>
      <c r="G256" s="74"/>
      <c r="H256" s="74"/>
      <c r="I256" s="74"/>
      <c r="J256" s="74"/>
      <c r="K256" s="192"/>
      <c r="L256" s="192"/>
      <c r="M256" s="75"/>
      <c r="N256" s="2"/>
      <c r="O256" s="2"/>
      <c r="P256" s="2"/>
      <c r="Q256" s="2"/>
      <c r="R256" s="2"/>
    </row>
    <row r="257" spans="1:18" ht="15">
      <c r="A257" s="2"/>
      <c r="B257" s="2"/>
      <c r="C257" s="74"/>
      <c r="D257" s="74"/>
      <c r="E257" s="74"/>
      <c r="F257" s="74"/>
      <c r="G257" s="74"/>
      <c r="H257" s="74"/>
      <c r="I257" s="74"/>
      <c r="J257" s="74"/>
      <c r="K257" s="192"/>
      <c r="L257" s="192"/>
      <c r="M257" s="75"/>
      <c r="N257" s="2"/>
      <c r="O257" s="2"/>
      <c r="P257" s="2"/>
      <c r="Q257" s="2"/>
      <c r="R257" s="2"/>
    </row>
    <row r="258" spans="1:18" ht="15">
      <c r="A258" s="2"/>
      <c r="B258" s="2"/>
      <c r="C258" s="74"/>
      <c r="D258" s="74"/>
      <c r="E258" s="74"/>
      <c r="F258" s="74"/>
      <c r="G258" s="74"/>
      <c r="H258" s="74"/>
      <c r="I258" s="74"/>
      <c r="J258" s="74"/>
      <c r="K258" s="192"/>
      <c r="L258" s="192"/>
      <c r="M258" s="75"/>
      <c r="N258" s="2"/>
      <c r="O258" s="2"/>
      <c r="P258" s="2"/>
      <c r="Q258" s="2"/>
      <c r="R258" s="2"/>
    </row>
    <row r="259" spans="1:18" ht="15">
      <c r="A259" s="2"/>
      <c r="B259" s="2"/>
      <c r="C259" s="74"/>
      <c r="D259" s="74"/>
      <c r="E259" s="74"/>
      <c r="F259" s="74"/>
      <c r="G259" s="74"/>
      <c r="H259" s="74"/>
      <c r="I259" s="74"/>
      <c r="J259" s="74"/>
      <c r="K259" s="192"/>
      <c r="L259" s="192"/>
      <c r="M259" s="75"/>
      <c r="N259" s="2"/>
      <c r="O259" s="2"/>
      <c r="P259" s="2"/>
      <c r="Q259" s="2"/>
      <c r="R259" s="2"/>
    </row>
    <row r="260" spans="1:18" ht="15">
      <c r="A260" s="2"/>
      <c r="B260" s="2"/>
      <c r="C260" s="74"/>
      <c r="D260" s="74"/>
      <c r="E260" s="74"/>
      <c r="F260" s="74"/>
      <c r="G260" s="74"/>
      <c r="H260" s="74"/>
      <c r="I260" s="74"/>
      <c r="J260" s="74"/>
      <c r="K260" s="192"/>
      <c r="L260" s="192"/>
      <c r="M260" s="75"/>
      <c r="N260" s="2"/>
      <c r="O260" s="2"/>
      <c r="P260" s="2"/>
      <c r="Q260" s="2"/>
      <c r="R260" s="2"/>
    </row>
    <row r="261" spans="1:18" ht="15">
      <c r="A261" s="2"/>
      <c r="B261" s="2"/>
      <c r="C261" s="74"/>
      <c r="D261" s="74"/>
      <c r="E261" s="74"/>
      <c r="F261" s="74"/>
      <c r="G261" s="74"/>
      <c r="H261" s="74"/>
      <c r="I261" s="74"/>
      <c r="J261" s="74"/>
      <c r="K261" s="192"/>
      <c r="L261" s="192"/>
      <c r="M261" s="75"/>
      <c r="N261" s="2"/>
      <c r="O261" s="2"/>
      <c r="P261" s="2"/>
      <c r="Q261" s="2"/>
      <c r="R261" s="2"/>
    </row>
    <row r="262" spans="1:18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192"/>
      <c r="L262" s="192"/>
      <c r="M262" s="75"/>
      <c r="N262" s="2"/>
      <c r="O262" s="2"/>
      <c r="P262" s="2"/>
      <c r="Q262" s="2"/>
      <c r="R262" s="2"/>
    </row>
    <row r="263" spans="1:18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192"/>
      <c r="L263" s="192"/>
      <c r="M263" s="75"/>
      <c r="N263" s="2"/>
      <c r="O263" s="2"/>
      <c r="P263" s="2"/>
      <c r="Q263" s="2"/>
      <c r="R263" s="2"/>
    </row>
    <row r="264" spans="1:18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192"/>
      <c r="L264" s="192"/>
      <c r="M264" s="75"/>
      <c r="N264" s="2"/>
      <c r="O264" s="2"/>
      <c r="P264" s="2"/>
      <c r="Q264" s="2"/>
      <c r="R264" s="2"/>
    </row>
    <row r="265" spans="1:18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192"/>
      <c r="L265" s="192"/>
      <c r="M265" s="75"/>
      <c r="N265" s="2"/>
      <c r="O265" s="2"/>
      <c r="P265" s="2"/>
      <c r="Q265" s="2"/>
      <c r="R265" s="2"/>
    </row>
    <row r="266" spans="1:18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192"/>
      <c r="L266" s="192"/>
      <c r="M266" s="75"/>
      <c r="N266" s="2"/>
      <c r="O266" s="2"/>
      <c r="P266" s="2"/>
      <c r="Q266" s="2"/>
      <c r="R266" s="2"/>
    </row>
    <row r="267" spans="1:18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192"/>
      <c r="L267" s="192"/>
      <c r="M267" s="75"/>
      <c r="N267" s="2"/>
      <c r="O267" s="2"/>
      <c r="P267" s="2"/>
      <c r="Q267" s="2"/>
      <c r="R267" s="2"/>
    </row>
    <row r="268" spans="1:18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192"/>
      <c r="L268" s="192"/>
      <c r="M268" s="75"/>
      <c r="N268" s="2"/>
      <c r="O268" s="2"/>
      <c r="P268" s="2"/>
      <c r="Q268" s="2"/>
      <c r="R268" s="2"/>
    </row>
    <row r="269" spans="1:18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192"/>
      <c r="L269" s="192"/>
      <c r="M269" s="75"/>
      <c r="N269" s="2"/>
      <c r="O269" s="2"/>
      <c r="P269" s="2"/>
      <c r="Q269" s="2"/>
      <c r="R269" s="2"/>
    </row>
    <row r="270" spans="1:18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192"/>
      <c r="L270" s="192"/>
      <c r="M270" s="75"/>
      <c r="N270" s="2"/>
      <c r="O270" s="2"/>
      <c r="P270" s="2"/>
      <c r="Q270" s="2"/>
      <c r="R270" s="2"/>
    </row>
    <row r="271" spans="1:18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192"/>
      <c r="L271" s="192"/>
      <c r="M271" s="75"/>
      <c r="N271" s="2"/>
      <c r="O271" s="2"/>
      <c r="P271" s="2"/>
      <c r="Q271" s="2"/>
      <c r="R271" s="2"/>
    </row>
    <row r="272" spans="1:18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192"/>
      <c r="L272" s="192"/>
      <c r="M272" s="75"/>
      <c r="N272" s="2"/>
      <c r="O272" s="2"/>
      <c r="P272" s="2"/>
      <c r="Q272" s="2"/>
      <c r="R272" s="2"/>
    </row>
    <row r="273" spans="1:18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192"/>
      <c r="L273" s="192"/>
      <c r="M273" s="75"/>
      <c r="N273" s="2"/>
      <c r="O273" s="2"/>
      <c r="P273" s="2"/>
      <c r="Q273" s="2"/>
      <c r="R273" s="2"/>
    </row>
    <row r="274" spans="1:18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192"/>
      <c r="L274" s="192"/>
      <c r="M274" s="75"/>
      <c r="N274" s="2"/>
      <c r="O274" s="2"/>
      <c r="P274" s="2"/>
      <c r="Q274" s="2"/>
      <c r="R274" s="2"/>
    </row>
    <row r="275" spans="1:18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192"/>
      <c r="L275" s="192"/>
      <c r="M275" s="75"/>
      <c r="N275" s="2"/>
      <c r="O275" s="2"/>
      <c r="P275" s="2"/>
      <c r="Q275" s="2"/>
      <c r="R275" s="2"/>
    </row>
    <row r="276" spans="1:18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192"/>
      <c r="L276" s="192"/>
      <c r="M276" s="75"/>
      <c r="N276" s="2"/>
      <c r="O276" s="2"/>
      <c r="P276" s="2"/>
      <c r="Q276" s="2"/>
      <c r="R276" s="2"/>
    </row>
    <row r="277" spans="1:18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192"/>
      <c r="L277" s="192"/>
      <c r="M277" s="75"/>
      <c r="N277" s="2"/>
      <c r="O277" s="2"/>
      <c r="P277" s="2"/>
      <c r="Q277" s="2"/>
      <c r="R277" s="2"/>
    </row>
    <row r="278" spans="1:18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192"/>
      <c r="L278" s="192"/>
      <c r="M278" s="75"/>
      <c r="N278" s="2"/>
      <c r="O278" s="2"/>
      <c r="P278" s="2"/>
      <c r="Q278" s="2"/>
      <c r="R278" s="2"/>
    </row>
    <row r="279" spans="1:18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192"/>
      <c r="L279" s="192"/>
      <c r="M279" s="75"/>
      <c r="N279" s="2"/>
      <c r="O279" s="2"/>
      <c r="P279" s="2"/>
      <c r="Q279" s="2"/>
      <c r="R279" s="2"/>
    </row>
    <row r="280" spans="1:18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192"/>
      <c r="L280" s="192"/>
      <c r="M280" s="75"/>
      <c r="N280" s="2"/>
      <c r="O280" s="2"/>
      <c r="P280" s="2"/>
      <c r="Q280" s="2"/>
      <c r="R280" s="2"/>
    </row>
    <row r="281" spans="1:18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192"/>
      <c r="L281" s="192"/>
      <c r="M281" s="75"/>
      <c r="N281" s="2"/>
      <c r="O281" s="2"/>
      <c r="P281" s="2"/>
      <c r="Q281" s="2"/>
      <c r="R281" s="2"/>
    </row>
    <row r="282" spans="1:18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192"/>
      <c r="L282" s="192"/>
      <c r="M282" s="75"/>
      <c r="N282" s="2"/>
      <c r="O282" s="2"/>
      <c r="P282" s="2"/>
      <c r="Q282" s="2"/>
      <c r="R282" s="2"/>
    </row>
    <row r="283" spans="1:18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192"/>
      <c r="L283" s="192"/>
      <c r="M283" s="75"/>
      <c r="N283" s="2"/>
      <c r="O283" s="2"/>
      <c r="P283" s="2"/>
      <c r="Q283" s="2"/>
      <c r="R283" s="2"/>
    </row>
    <row r="284" spans="1:18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192"/>
      <c r="L284" s="192"/>
      <c r="M284" s="75"/>
      <c r="N284" s="2"/>
      <c r="O284" s="2"/>
      <c r="P284" s="2"/>
      <c r="Q284" s="2"/>
      <c r="R284" s="2"/>
    </row>
    <row r="285" spans="1:18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192"/>
      <c r="L285" s="192"/>
      <c r="M285" s="75"/>
      <c r="N285" s="2"/>
      <c r="O285" s="2"/>
      <c r="P285" s="2"/>
      <c r="Q285" s="2"/>
      <c r="R285" s="2"/>
    </row>
    <row r="286" spans="1:18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192"/>
      <c r="L286" s="192"/>
      <c r="M286" s="75"/>
      <c r="N286" s="2"/>
      <c r="O286" s="2"/>
      <c r="P286" s="2"/>
      <c r="Q286" s="2"/>
      <c r="R286" s="2"/>
    </row>
    <row r="287" spans="1:18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192"/>
      <c r="L287" s="192"/>
      <c r="M287" s="75"/>
      <c r="N287" s="2"/>
      <c r="O287" s="2"/>
      <c r="P287" s="2"/>
      <c r="Q287" s="2"/>
      <c r="R287" s="2"/>
    </row>
    <row r="288" spans="1:18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192"/>
      <c r="L288" s="192"/>
      <c r="M288" s="75"/>
      <c r="N288" s="2"/>
      <c r="O288" s="2"/>
      <c r="P288" s="2"/>
      <c r="Q288" s="2"/>
      <c r="R288" s="2"/>
    </row>
    <row r="289" spans="1:18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192"/>
      <c r="L289" s="192"/>
      <c r="M289" s="75"/>
      <c r="N289" s="2"/>
      <c r="O289" s="2"/>
      <c r="P289" s="2"/>
      <c r="Q289" s="2"/>
      <c r="R289" s="2"/>
    </row>
    <row r="290" spans="1:18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192"/>
      <c r="L290" s="192"/>
      <c r="M290" s="75"/>
      <c r="N290" s="2"/>
      <c r="O290" s="2"/>
      <c r="P290" s="2"/>
      <c r="Q290" s="2"/>
      <c r="R290" s="2"/>
    </row>
    <row r="291" spans="1:18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192"/>
      <c r="L291" s="192"/>
      <c r="M291" s="75"/>
      <c r="N291" s="2"/>
      <c r="O291" s="2"/>
      <c r="P291" s="2"/>
      <c r="Q291" s="2"/>
      <c r="R291" s="2"/>
    </row>
    <row r="292" spans="1:18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192"/>
      <c r="L292" s="192"/>
      <c r="M292" s="75"/>
      <c r="N292" s="2"/>
      <c r="O292" s="2"/>
      <c r="P292" s="2"/>
      <c r="Q292" s="2"/>
      <c r="R292" s="2"/>
    </row>
    <row r="293" spans="1:18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192"/>
      <c r="L293" s="192"/>
      <c r="M293" s="75"/>
      <c r="N293" s="2"/>
      <c r="O293" s="2"/>
      <c r="P293" s="2"/>
      <c r="Q293" s="2"/>
      <c r="R293" s="2"/>
    </row>
    <row r="294" spans="1:18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192"/>
      <c r="L294" s="192"/>
      <c r="M294" s="75"/>
      <c r="N294" s="2"/>
      <c r="O294" s="2"/>
      <c r="P294" s="2"/>
      <c r="Q294" s="2"/>
      <c r="R294" s="2"/>
    </row>
    <row r="295" spans="1:18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192"/>
      <c r="L295" s="192"/>
      <c r="M295" s="75"/>
      <c r="N295" s="2"/>
      <c r="O295" s="2"/>
      <c r="P295" s="2"/>
      <c r="Q295" s="2"/>
      <c r="R295" s="2"/>
    </row>
    <row r="296" spans="1:18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192"/>
      <c r="L296" s="192"/>
      <c r="M296" s="75"/>
      <c r="N296" s="2"/>
      <c r="O296" s="2"/>
      <c r="P296" s="2"/>
      <c r="Q296" s="2"/>
      <c r="R296" s="2"/>
    </row>
    <row r="297" spans="1:18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192"/>
      <c r="L297" s="192"/>
      <c r="M297" s="75"/>
      <c r="N297" s="2"/>
      <c r="O297" s="2"/>
      <c r="P297" s="2"/>
      <c r="Q297" s="2"/>
      <c r="R297" s="2"/>
    </row>
    <row r="298" spans="1:18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192"/>
      <c r="L298" s="192"/>
      <c r="M298" s="75"/>
      <c r="N298" s="2"/>
      <c r="O298" s="2"/>
      <c r="P298" s="2"/>
      <c r="Q298" s="2"/>
      <c r="R298" s="2"/>
    </row>
    <row r="299" spans="1:18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192"/>
      <c r="L299" s="192"/>
      <c r="M299" s="75"/>
      <c r="N299" s="2"/>
      <c r="O299" s="2"/>
      <c r="P299" s="2"/>
      <c r="Q299" s="2"/>
      <c r="R299" s="2"/>
    </row>
    <row r="300" spans="1:18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192"/>
      <c r="L300" s="192"/>
      <c r="M300" s="75"/>
      <c r="N300" s="2"/>
      <c r="O300" s="2"/>
      <c r="P300" s="2"/>
      <c r="Q300" s="2"/>
      <c r="R300" s="2"/>
    </row>
    <row r="301" spans="1:18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92"/>
      <c r="L301" s="192"/>
      <c r="M301" s="75"/>
      <c r="N301" s="2"/>
      <c r="O301" s="2"/>
      <c r="P301" s="2"/>
      <c r="Q301" s="2"/>
      <c r="R301" s="2"/>
    </row>
    <row r="302" spans="1:18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92"/>
      <c r="L302" s="192"/>
      <c r="M302" s="75"/>
      <c r="N302" s="2"/>
      <c r="O302" s="2"/>
      <c r="P302" s="2"/>
      <c r="Q302" s="2"/>
      <c r="R302" s="2"/>
    </row>
    <row r="303" spans="1:18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92"/>
      <c r="L303" s="192"/>
      <c r="M303" s="75"/>
      <c r="N303" s="2"/>
      <c r="O303" s="2"/>
      <c r="P303" s="2"/>
      <c r="Q303" s="2"/>
      <c r="R303" s="2"/>
    </row>
    <row r="304" spans="1:18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92"/>
      <c r="L304" s="192"/>
      <c r="M304" s="75"/>
      <c r="N304" s="2"/>
      <c r="O304" s="2"/>
      <c r="P304" s="2"/>
      <c r="Q304" s="2"/>
      <c r="R304" s="2"/>
    </row>
    <row r="305" spans="1:18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92"/>
      <c r="L305" s="192"/>
      <c r="M305" s="75"/>
      <c r="N305" s="2"/>
      <c r="O305" s="2"/>
      <c r="P305" s="2"/>
      <c r="Q305" s="2"/>
      <c r="R305" s="2"/>
    </row>
    <row r="306" spans="1:18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92"/>
      <c r="L306" s="192"/>
      <c r="M306" s="75"/>
      <c r="N306" s="2"/>
      <c r="O306" s="2"/>
      <c r="P306" s="2"/>
      <c r="Q306" s="2"/>
      <c r="R306" s="2"/>
    </row>
    <row r="307" spans="1:18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92"/>
      <c r="L307" s="192"/>
      <c r="M307" s="75"/>
      <c r="N307" s="2"/>
      <c r="O307" s="2"/>
      <c r="P307" s="2"/>
      <c r="Q307" s="2"/>
      <c r="R307" s="2"/>
    </row>
    <row r="308" spans="1:18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92"/>
      <c r="L308" s="192"/>
      <c r="M308" s="75"/>
      <c r="N308" s="2"/>
      <c r="O308" s="2"/>
      <c r="P308" s="2"/>
      <c r="Q308" s="2"/>
      <c r="R308" s="2"/>
    </row>
    <row r="309" spans="1:18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92"/>
      <c r="L309" s="192"/>
      <c r="M309" s="75"/>
      <c r="N309" s="2"/>
      <c r="O309" s="2"/>
      <c r="P309" s="2"/>
      <c r="Q309" s="2"/>
      <c r="R309" s="2"/>
    </row>
    <row r="310" spans="1:18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92"/>
      <c r="L310" s="192"/>
      <c r="M310" s="75"/>
      <c r="N310" s="2"/>
      <c r="O310" s="2"/>
      <c r="P310" s="2"/>
      <c r="Q310" s="2"/>
      <c r="R310" s="2"/>
    </row>
    <row r="311" spans="1:18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92"/>
      <c r="L311" s="192"/>
      <c r="M311" s="75"/>
      <c r="N311" s="2"/>
      <c r="O311" s="2"/>
      <c r="P311" s="2"/>
      <c r="Q311" s="2"/>
      <c r="R311" s="2"/>
    </row>
    <row r="312" spans="1:18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92"/>
      <c r="L312" s="192"/>
      <c r="M312" s="75"/>
      <c r="N312" s="2"/>
      <c r="O312" s="2"/>
      <c r="P312" s="2"/>
      <c r="Q312" s="2"/>
      <c r="R312" s="2"/>
    </row>
    <row r="313" spans="1:18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92"/>
      <c r="L313" s="192"/>
      <c r="M313" s="75"/>
      <c r="N313" s="2"/>
      <c r="O313" s="2"/>
      <c r="P313" s="2"/>
      <c r="Q313" s="2"/>
      <c r="R313" s="2"/>
    </row>
    <row r="314" spans="1:18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92"/>
      <c r="L314" s="192"/>
      <c r="M314" s="75"/>
      <c r="N314" s="2"/>
      <c r="O314" s="2"/>
      <c r="P314" s="2"/>
      <c r="Q314" s="2"/>
      <c r="R314" s="2"/>
    </row>
    <row r="315" spans="1:18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92"/>
      <c r="L315" s="192"/>
      <c r="M315" s="75"/>
      <c r="N315" s="2"/>
      <c r="O315" s="2"/>
      <c r="P315" s="2"/>
      <c r="Q315" s="2"/>
      <c r="R315" s="2"/>
    </row>
    <row r="316" spans="1:18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92"/>
      <c r="L316" s="192"/>
      <c r="M316" s="75"/>
      <c r="N316" s="2"/>
      <c r="O316" s="2"/>
      <c r="P316" s="2"/>
      <c r="Q316" s="2"/>
      <c r="R316" s="2"/>
    </row>
    <row r="317" spans="1:18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92"/>
      <c r="L317" s="192"/>
      <c r="M317" s="75"/>
      <c r="N317" s="2"/>
      <c r="O317" s="2"/>
      <c r="P317" s="2"/>
      <c r="Q317" s="2"/>
      <c r="R317" s="2"/>
    </row>
    <row r="318" spans="1:18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92"/>
      <c r="L318" s="192"/>
      <c r="M318" s="75"/>
      <c r="N318" s="2"/>
      <c r="O318" s="2"/>
      <c r="P318" s="2"/>
      <c r="Q318" s="2"/>
      <c r="R318" s="2"/>
    </row>
    <row r="319" spans="1:18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92"/>
      <c r="L319" s="192"/>
      <c r="M319" s="75"/>
      <c r="N319" s="2"/>
      <c r="O319" s="2"/>
      <c r="P319" s="2"/>
      <c r="Q319" s="2"/>
      <c r="R319" s="2"/>
    </row>
    <row r="320" spans="1:18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92"/>
      <c r="L320" s="192"/>
      <c r="M320" s="75"/>
      <c r="N320" s="2"/>
      <c r="O320" s="2"/>
      <c r="P320" s="2"/>
      <c r="Q320" s="2"/>
      <c r="R320" s="2"/>
    </row>
    <row r="321" spans="1:18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92"/>
      <c r="L321" s="192"/>
      <c r="M321" s="75"/>
      <c r="N321" s="2"/>
      <c r="O321" s="2"/>
      <c r="P321" s="2"/>
      <c r="Q321" s="2"/>
      <c r="R321" s="2"/>
    </row>
    <row r="322" spans="1:18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92"/>
      <c r="L322" s="192"/>
      <c r="M322" s="75"/>
      <c r="N322" s="2"/>
      <c r="O322" s="2"/>
      <c r="P322" s="2"/>
      <c r="Q322" s="2"/>
      <c r="R322" s="2"/>
    </row>
    <row r="323" spans="1:18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92"/>
      <c r="L323" s="192"/>
      <c r="M323" s="75"/>
      <c r="N323" s="2"/>
      <c r="O323" s="2"/>
      <c r="P323" s="2"/>
      <c r="Q323" s="2"/>
      <c r="R323" s="2"/>
    </row>
    <row r="324" spans="1:18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2"/>
      <c r="L324" s="192"/>
      <c r="M324" s="75"/>
      <c r="N324" s="2"/>
      <c r="O324" s="2"/>
      <c r="P324" s="2"/>
      <c r="Q324" s="2"/>
      <c r="R324" s="2"/>
    </row>
    <row r="325" spans="1:18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92"/>
      <c r="L325" s="192"/>
      <c r="M325" s="75"/>
      <c r="N325" s="2"/>
      <c r="O325" s="2"/>
      <c r="P325" s="2"/>
      <c r="Q325" s="2"/>
      <c r="R325" s="2"/>
    </row>
    <row r="326" spans="1:18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92"/>
      <c r="L326" s="192"/>
      <c r="M326" s="75"/>
      <c r="N326" s="2"/>
      <c r="O326" s="2"/>
      <c r="P326" s="2"/>
      <c r="Q326" s="2"/>
      <c r="R326" s="2"/>
    </row>
    <row r="327" spans="1:18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  <row r="336" spans="1:18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2"/>
      <c r="L336" s="192"/>
      <c r="M336" s="75"/>
      <c r="N336" s="2"/>
      <c r="O336" s="2"/>
      <c r="P336" s="2"/>
      <c r="Q336" s="2"/>
      <c r="R336" s="2"/>
    </row>
    <row r="337" spans="1:18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2"/>
      <c r="L337" s="192"/>
      <c r="M337" s="75"/>
      <c r="N337" s="2"/>
      <c r="O337" s="2"/>
      <c r="P337" s="2"/>
      <c r="Q337" s="2"/>
      <c r="R337" s="2"/>
    </row>
    <row r="338" spans="1:18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2"/>
      <c r="L338" s="192"/>
      <c r="M338" s="75"/>
      <c r="N338" s="2"/>
      <c r="O338" s="2"/>
      <c r="P338" s="2"/>
      <c r="Q338" s="2"/>
      <c r="R338" s="2"/>
    </row>
    <row r="339" spans="1:18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2"/>
      <c r="L339" s="192"/>
      <c r="M339" s="75"/>
      <c r="N339" s="2"/>
      <c r="O339" s="2"/>
      <c r="P339" s="2"/>
      <c r="Q339" s="2"/>
      <c r="R339" s="2"/>
    </row>
    <row r="340" spans="1:18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  <row r="349" spans="1:18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2"/>
      <c r="L349" s="192"/>
      <c r="M349" s="75"/>
      <c r="N349" s="2"/>
      <c r="O349" s="2"/>
      <c r="P349" s="2"/>
      <c r="Q349" s="2"/>
      <c r="R349" s="2"/>
    </row>
    <row r="350" spans="1:18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2"/>
      <c r="L350" s="192"/>
      <c r="M350" s="75"/>
      <c r="N350" s="2"/>
      <c r="O350" s="2"/>
      <c r="P350" s="2"/>
      <c r="Q350" s="2"/>
      <c r="R350" s="2"/>
    </row>
    <row r="351" spans="1:18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2"/>
      <c r="L351" s="192"/>
      <c r="M351" s="75"/>
      <c r="N351" s="2"/>
      <c r="O351" s="2"/>
      <c r="P351" s="2"/>
      <c r="Q351" s="2"/>
      <c r="R351" s="2"/>
    </row>
    <row r="352" spans="1:18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2"/>
      <c r="L352" s="192"/>
      <c r="M352" s="75"/>
      <c r="N352" s="2"/>
      <c r="O352" s="2"/>
      <c r="P352" s="2"/>
      <c r="Q352" s="2"/>
      <c r="R352" s="2"/>
    </row>
    <row r="353" spans="1:18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  <row r="362" spans="1:18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2"/>
      <c r="L362" s="192"/>
      <c r="M362" s="75"/>
      <c r="N362" s="2"/>
      <c r="O362" s="2"/>
      <c r="P362" s="2"/>
      <c r="Q362" s="2"/>
      <c r="R362" s="2"/>
    </row>
    <row r="363" spans="1:18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2"/>
      <c r="L363" s="192"/>
      <c r="M363" s="75"/>
      <c r="N363" s="2"/>
      <c r="O363" s="2"/>
      <c r="P363" s="2"/>
      <c r="Q363" s="2"/>
      <c r="R363" s="2"/>
    </row>
    <row r="364" spans="1:18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2"/>
      <c r="L364" s="192"/>
      <c r="M364" s="75"/>
      <c r="N364" s="2"/>
      <c r="O364" s="2"/>
      <c r="P364" s="2"/>
      <c r="Q364" s="2"/>
      <c r="R364" s="2"/>
    </row>
    <row r="365" spans="1:18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2"/>
      <c r="L365" s="192"/>
      <c r="M365" s="75"/>
      <c r="N365" s="2"/>
      <c r="O365" s="2"/>
      <c r="P365" s="2"/>
      <c r="Q365" s="2"/>
      <c r="R365" s="2"/>
    </row>
    <row r="366" spans="1:18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2"/>
      <c r="L366" s="192"/>
      <c r="M366" s="75"/>
      <c r="N366" s="2"/>
      <c r="O366" s="2"/>
      <c r="P366" s="2"/>
      <c r="Q366" s="2"/>
      <c r="R366" s="2"/>
    </row>
    <row r="367" spans="1:18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2"/>
      <c r="L367" s="192"/>
      <c r="M367" s="75"/>
      <c r="N367" s="2"/>
      <c r="O367" s="2"/>
      <c r="P367" s="2"/>
      <c r="Q367" s="2"/>
      <c r="R367" s="2"/>
    </row>
    <row r="368" spans="1:18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2"/>
      <c r="L368" s="192"/>
      <c r="M368" s="75"/>
      <c r="N368" s="2"/>
      <c r="O368" s="2"/>
      <c r="P368" s="2"/>
      <c r="Q368" s="2"/>
      <c r="R368" s="2"/>
    </row>
    <row r="369" spans="1:18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2"/>
      <c r="L369" s="192"/>
      <c r="M369" s="75"/>
      <c r="N369" s="2"/>
      <c r="O369" s="2"/>
      <c r="P369" s="2"/>
      <c r="Q369" s="2"/>
      <c r="R369" s="2"/>
    </row>
    <row r="370" spans="1:18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2"/>
      <c r="L370" s="192"/>
      <c r="M370" s="75"/>
      <c r="N370" s="2"/>
      <c r="O370" s="2"/>
      <c r="P370" s="2"/>
      <c r="Q370" s="2"/>
      <c r="R370" s="2"/>
    </row>
    <row r="371" spans="1:18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2"/>
      <c r="L371" s="192"/>
      <c r="M371" s="75"/>
      <c r="N371" s="2"/>
      <c r="O371" s="2"/>
      <c r="P371" s="2"/>
      <c r="Q371" s="2"/>
      <c r="R371" s="2"/>
    </row>
    <row r="372" spans="1:18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2"/>
      <c r="L372" s="192"/>
      <c r="M372" s="75"/>
      <c r="N372" s="2"/>
      <c r="O372" s="2"/>
      <c r="P372" s="2"/>
      <c r="Q372" s="2"/>
      <c r="R372" s="2"/>
    </row>
    <row r="373" spans="1:18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2"/>
      <c r="L373" s="192"/>
      <c r="M373" s="75"/>
      <c r="N373" s="2"/>
      <c r="O373" s="2"/>
      <c r="P373" s="2"/>
      <c r="Q373" s="2"/>
      <c r="R373" s="2"/>
    </row>
    <row r="374" spans="1:18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2"/>
      <c r="L374" s="192"/>
      <c r="M374" s="75"/>
      <c r="N374" s="2"/>
      <c r="O374" s="2"/>
      <c r="P374" s="2"/>
      <c r="Q374" s="2"/>
      <c r="R374" s="2"/>
    </row>
    <row r="375" spans="1:18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92"/>
      <c r="L375" s="192"/>
      <c r="M375" s="75"/>
      <c r="N375" s="2"/>
      <c r="O375" s="2"/>
      <c r="P375" s="2"/>
      <c r="Q375" s="2"/>
      <c r="R375" s="2"/>
    </row>
    <row r="376" spans="1:18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92"/>
      <c r="L376" s="192"/>
      <c r="M376" s="75"/>
      <c r="N376" s="2"/>
      <c r="O376" s="2"/>
      <c r="P376" s="2"/>
      <c r="Q376" s="2"/>
      <c r="R376" s="2"/>
    </row>
    <row r="377" spans="1:18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92"/>
      <c r="L377" s="192"/>
      <c r="M377" s="75"/>
      <c r="N377" s="2"/>
      <c r="O377" s="2"/>
      <c r="P377" s="2"/>
      <c r="Q377" s="2"/>
      <c r="R377" s="2"/>
    </row>
    <row r="378" spans="1:18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92"/>
      <c r="L378" s="192"/>
      <c r="M378" s="75"/>
      <c r="N378" s="2"/>
      <c r="O378" s="2"/>
      <c r="P378" s="2"/>
      <c r="Q378" s="2"/>
      <c r="R378" s="2"/>
    </row>
    <row r="379" spans="1:18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92"/>
      <c r="L379" s="192"/>
      <c r="M379" s="75"/>
      <c r="N379" s="2"/>
      <c r="O379" s="2"/>
      <c r="P379" s="2"/>
      <c r="Q379" s="2"/>
      <c r="R379" s="2"/>
    </row>
    <row r="380" spans="1:18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92"/>
      <c r="L380" s="192"/>
      <c r="M380" s="75"/>
      <c r="N380" s="2"/>
      <c r="O380" s="2"/>
      <c r="P380" s="2"/>
      <c r="Q380" s="2"/>
      <c r="R380" s="2"/>
    </row>
    <row r="381" spans="1:18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92"/>
      <c r="L381" s="192"/>
      <c r="M381" s="75"/>
      <c r="N381" s="2"/>
      <c r="O381" s="2"/>
      <c r="P381" s="2"/>
      <c r="Q381" s="2"/>
      <c r="R381" s="2"/>
    </row>
    <row r="382" spans="1:18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92"/>
      <c r="L382" s="192"/>
      <c r="M382" s="75"/>
      <c r="N382" s="2"/>
      <c r="O382" s="2"/>
      <c r="P382" s="2"/>
      <c r="Q382" s="2"/>
      <c r="R382" s="2"/>
    </row>
    <row r="383" spans="1:18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92"/>
      <c r="L383" s="192"/>
      <c r="M383" s="75"/>
      <c r="N383" s="2"/>
      <c r="O383" s="2"/>
      <c r="P383" s="2"/>
      <c r="Q383" s="2"/>
      <c r="R383" s="2"/>
    </row>
    <row r="384" spans="1:18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92"/>
      <c r="L384" s="192"/>
      <c r="M384" s="75"/>
      <c r="N384" s="2"/>
      <c r="O384" s="2"/>
      <c r="P384" s="2"/>
      <c r="Q384" s="2"/>
      <c r="R384" s="2"/>
    </row>
    <row r="385" spans="1:18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92"/>
      <c r="L385" s="192"/>
      <c r="M385" s="75"/>
      <c r="N385" s="2"/>
      <c r="O385" s="2"/>
      <c r="P385" s="2"/>
      <c r="Q385" s="2"/>
      <c r="R385" s="2"/>
    </row>
    <row r="386" spans="1:18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92"/>
      <c r="L386" s="192"/>
      <c r="M386" s="75"/>
      <c r="N386" s="2"/>
      <c r="O386" s="2"/>
      <c r="P386" s="2"/>
      <c r="Q386" s="2"/>
      <c r="R386" s="2"/>
    </row>
    <row r="387" spans="1:18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92"/>
      <c r="L387" s="192"/>
      <c r="M387" s="75"/>
      <c r="N387" s="2"/>
      <c r="O387" s="2"/>
      <c r="P387" s="2"/>
      <c r="Q387" s="2"/>
      <c r="R387" s="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6" r:id="rId1"/>
  <rowBreaks count="2" manualBreakCount="2">
    <brk id="47" max="12" man="1"/>
    <brk id="8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showOutlineSymbols="0" zoomScalePageLayoutView="0" workbookViewId="0" topLeftCell="A1">
      <selection activeCell="A4" sqref="A4"/>
    </sheetView>
  </sheetViews>
  <sheetFormatPr defaultColWidth="9.6640625" defaultRowHeight="15"/>
  <cols>
    <col min="1" max="1" width="10.21484375" style="80" customWidth="1"/>
    <col min="2" max="2" width="9.77734375" style="80" customWidth="1"/>
    <col min="3" max="3" width="16.10546875" style="80" customWidth="1"/>
    <col min="4" max="4" width="16.21484375" style="80" customWidth="1"/>
    <col min="5" max="5" width="13.6640625" style="80" customWidth="1"/>
    <col min="6" max="6" width="14.3359375" style="80" customWidth="1"/>
    <col min="7" max="7" width="21.4453125" style="80" customWidth="1"/>
    <col min="8" max="8" width="17.88671875" style="80" customWidth="1"/>
    <col min="9" max="9" width="15.445312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9.4453125" style="80" customWidth="1"/>
    <col min="15" max="15" width="13.88671875" style="80" customWidth="1"/>
    <col min="16" max="16" width="3.77734375" style="80" customWidth="1"/>
    <col min="17" max="16384" width="9.6640625" style="80" customWidth="1"/>
  </cols>
  <sheetData>
    <row r="1" spans="1:15" ht="23.2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23.25">
      <c r="A2" s="78" t="s">
        <v>23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23.25">
      <c r="A3" s="282" t="s">
        <v>71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23.2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24" thickBot="1">
      <c r="A5" s="78" t="s">
        <v>24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25</v>
      </c>
      <c r="P6" s="83"/>
    </row>
    <row r="7" spans="1:16" ht="15.75">
      <c r="A7" s="105" t="s">
        <v>26</v>
      </c>
      <c r="B7" s="84" t="s">
        <v>13</v>
      </c>
      <c r="C7" s="84" t="s">
        <v>15</v>
      </c>
      <c r="D7" s="84" t="s">
        <v>56</v>
      </c>
      <c r="E7" s="275" t="s">
        <v>62</v>
      </c>
      <c r="F7" s="84" t="s">
        <v>16</v>
      </c>
      <c r="G7" s="84" t="s">
        <v>61</v>
      </c>
      <c r="H7" s="84" t="s">
        <v>17</v>
      </c>
      <c r="I7" s="84" t="s">
        <v>55</v>
      </c>
      <c r="J7" s="84" t="s">
        <v>27</v>
      </c>
      <c r="K7" s="84" t="s">
        <v>57</v>
      </c>
      <c r="L7" s="84" t="s">
        <v>53</v>
      </c>
      <c r="M7" s="84" t="s">
        <v>19</v>
      </c>
      <c r="N7" s="84" t="s">
        <v>54</v>
      </c>
      <c r="O7" s="84" t="s">
        <v>28</v>
      </c>
      <c r="P7" s="83"/>
    </row>
    <row r="8" spans="1:16" ht="16.5" thickBot="1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>
      <c r="A10" s="88">
        <f>DATE(2017,7,1)</f>
        <v>42917</v>
      </c>
      <c r="B10" s="89">
        <f>'MONTHLY STATS'!$C$9*2</f>
        <v>590094</v>
      </c>
      <c r="C10" s="89">
        <f>'MONTHLY STATS'!$C$17*2</f>
        <v>308970</v>
      </c>
      <c r="D10" s="89">
        <f>'MONTHLY STATS'!$C$25*2</f>
        <v>149754</v>
      </c>
      <c r="E10" s="89">
        <f>'MONTHLY STATS'!$C$33*2</f>
        <v>1005414</v>
      </c>
      <c r="F10" s="89">
        <f>'MONTHLY STATS'!$C$41*2</f>
        <v>664254</v>
      </c>
      <c r="G10" s="89">
        <f>'MONTHLY STATS'!$C$49*2</f>
        <v>311360</v>
      </c>
      <c r="H10" s="89">
        <f>'MONTHLY STATS'!$C$57*2</f>
        <v>353238</v>
      </c>
      <c r="I10" s="89">
        <f>'MONTHLY STATS'!$C$65*2</f>
        <v>801810</v>
      </c>
      <c r="J10" s="89">
        <f>'MONTHLY STATS'!$C$73*2</f>
        <v>804648</v>
      </c>
      <c r="K10" s="89">
        <f>'MONTHLY STATS'!$C$81*2</f>
        <v>975242</v>
      </c>
      <c r="L10" s="89">
        <f>'MONTHLY STATS'!$C$89*2</f>
        <v>125854</v>
      </c>
      <c r="M10" s="89">
        <f>'MONTHLY STATS'!$C$97*2</f>
        <v>1009360</v>
      </c>
      <c r="N10" s="89">
        <f>'MONTHLY STATS'!$C$105*2</f>
        <v>159812</v>
      </c>
      <c r="O10" s="90">
        <f>SUM(B10:N10)</f>
        <v>7259810</v>
      </c>
      <c r="P10" s="83"/>
    </row>
    <row r="11" spans="1:16" ht="15.75">
      <c r="A11" s="88">
        <f>DATE(2017,8,1)</f>
        <v>42948</v>
      </c>
      <c r="B11" s="89">
        <f>'MONTHLY STATS'!$C$10*2</f>
        <v>537376</v>
      </c>
      <c r="C11" s="89">
        <f>'MONTHLY STATS'!$C$18*2</f>
        <v>293770</v>
      </c>
      <c r="D11" s="89">
        <f>'MONTHLY STATS'!$C$26*2</f>
        <v>134350</v>
      </c>
      <c r="E11" s="89">
        <f>'MONTHLY STATS'!$C$34*2</f>
        <v>906982</v>
      </c>
      <c r="F11" s="89">
        <f>'MONTHLY STATS'!$C$42*2</f>
        <v>636920</v>
      </c>
      <c r="G11" s="89">
        <f>'MONTHLY STATS'!$C$50*2</f>
        <v>274594</v>
      </c>
      <c r="H11" s="89">
        <f>'MONTHLY STATS'!$C$58*2</f>
        <v>333204</v>
      </c>
      <c r="I11" s="89">
        <f>'MONTHLY STATS'!$C$66*2</f>
        <v>665102</v>
      </c>
      <c r="J11" s="89">
        <f>'MONTHLY STATS'!$C$74*2</f>
        <v>759878</v>
      </c>
      <c r="K11" s="89">
        <f>'MONTHLY STATS'!$C$82*2</f>
        <v>901030</v>
      </c>
      <c r="L11" s="89">
        <f>'MONTHLY STATS'!$C$90*2</f>
        <v>117056</v>
      </c>
      <c r="M11" s="89">
        <f>'MONTHLY STATS'!$C$98*2</f>
        <v>914660</v>
      </c>
      <c r="N11" s="89">
        <f>'MONTHLY STATS'!$C$106*2</f>
        <v>159666</v>
      </c>
      <c r="O11" s="90">
        <f>SUM(B11:N11)</f>
        <v>6634588</v>
      </c>
      <c r="P11" s="83"/>
    </row>
    <row r="12" spans="1:16" ht="15.75">
      <c r="A12" s="88">
        <f>DATE(2017,9,1)</f>
        <v>42979</v>
      </c>
      <c r="B12" s="89">
        <f>'MONTHLY STATS'!$C$11*2</f>
        <v>561632</v>
      </c>
      <c r="C12" s="89">
        <f>'MONTHLY STATS'!$C$19*2</f>
        <v>295582</v>
      </c>
      <c r="D12" s="89">
        <f>'MONTHLY STATS'!$C$27*2</f>
        <v>139808</v>
      </c>
      <c r="E12" s="89">
        <f>'MONTHLY STATS'!$C$35*2</f>
        <v>880756</v>
      </c>
      <c r="F12" s="89">
        <f>'MONTHLY STATS'!$C$43*2</f>
        <v>638232</v>
      </c>
      <c r="G12" s="89">
        <f>'MONTHLY STATS'!$C$51*2</f>
        <v>302994</v>
      </c>
      <c r="H12" s="89">
        <f>'MONTHLY STATS'!$C$59*2</f>
        <v>338388</v>
      </c>
      <c r="I12" s="89">
        <f>'MONTHLY STATS'!$C$67*2</f>
        <v>668860</v>
      </c>
      <c r="J12" s="89">
        <f>'MONTHLY STATS'!$C$75*2</f>
        <v>769178</v>
      </c>
      <c r="K12" s="89">
        <f>'MONTHLY STATS'!$C$83*2</f>
        <v>921772</v>
      </c>
      <c r="L12" s="89">
        <f>'MONTHLY STATS'!$C$91*2</f>
        <v>118836</v>
      </c>
      <c r="M12" s="89">
        <f>'MONTHLY STATS'!$C$99*2</f>
        <v>939654</v>
      </c>
      <c r="N12" s="89">
        <f>'MONTHLY STATS'!$C$107*2</f>
        <v>168706</v>
      </c>
      <c r="O12" s="90">
        <f>SUM(B12:N12)</f>
        <v>6744398</v>
      </c>
      <c r="P12" s="83"/>
    </row>
    <row r="13" spans="1:16" ht="15.75">
      <c r="A13" s="88">
        <f>DATE(2017,10,1)</f>
        <v>43009</v>
      </c>
      <c r="B13" s="89">
        <f>'MONTHLY STATS'!$C$12*2</f>
        <v>533626</v>
      </c>
      <c r="C13" s="89">
        <f>'MONTHLY STATS'!$C$20*2</f>
        <v>275400</v>
      </c>
      <c r="D13" s="89">
        <f>'MONTHLY STATS'!$C$28*2</f>
        <v>127404</v>
      </c>
      <c r="E13" s="89">
        <f>'MONTHLY STATS'!$C$36*2</f>
        <v>839426</v>
      </c>
      <c r="F13" s="89">
        <f>'MONTHLY STATS'!$C$44*2</f>
        <v>614650</v>
      </c>
      <c r="G13" s="89">
        <f>'MONTHLY STATS'!$C$52*2</f>
        <v>292670</v>
      </c>
      <c r="H13" s="89">
        <f>'MONTHLY STATS'!$C$60*2</f>
        <v>335534</v>
      </c>
      <c r="I13" s="89">
        <f>'MONTHLY STATS'!$C$68*2</f>
        <v>634608</v>
      </c>
      <c r="J13" s="89">
        <f>'MONTHLY STATS'!$C$76*2</f>
        <v>746118</v>
      </c>
      <c r="K13" s="89">
        <f>'MONTHLY STATS'!$C$84*2</f>
        <v>834022</v>
      </c>
      <c r="L13" s="89">
        <f>'MONTHLY STATS'!$C$92*2</f>
        <v>105728</v>
      </c>
      <c r="M13" s="89">
        <f>'MONTHLY STATS'!$C$100*2</f>
        <v>887918</v>
      </c>
      <c r="N13" s="89">
        <f>'MONTHLY STATS'!$C$108*2</f>
        <v>160028</v>
      </c>
      <c r="O13" s="90">
        <f>SUM(B13:N13)</f>
        <v>6387132</v>
      </c>
      <c r="P13" s="83"/>
    </row>
    <row r="14" spans="1:16" ht="15.75">
      <c r="A14" s="88">
        <f>DATE(2017,11,1)</f>
        <v>43040</v>
      </c>
      <c r="B14" s="89">
        <f>'MONTHLY STATS'!$C$13*2</f>
        <v>542350</v>
      </c>
      <c r="C14" s="89">
        <f>'MONTHLY STATS'!$C$21*2</f>
        <v>256542</v>
      </c>
      <c r="D14" s="89">
        <f>'MONTHLY STATS'!$C$29*2</f>
        <v>126234</v>
      </c>
      <c r="E14" s="89">
        <f>'MONTHLY STATS'!$C$37*2</f>
        <v>817206</v>
      </c>
      <c r="F14" s="89">
        <f>'MONTHLY STATS'!$C$45*2</f>
        <v>561174</v>
      </c>
      <c r="G14" s="89">
        <f>'MONTHLY STATS'!$C$53*2</f>
        <v>273588</v>
      </c>
      <c r="H14" s="89">
        <f>'MONTHLY STATS'!$C$61*2</f>
        <v>317026</v>
      </c>
      <c r="I14" s="89">
        <f>'MONTHLY STATS'!$C$69*2</f>
        <v>639276</v>
      </c>
      <c r="J14" s="89">
        <f>'MONTHLY STATS'!$C$77*2</f>
        <v>701052</v>
      </c>
      <c r="K14" s="89">
        <f>'MONTHLY STATS'!$C$85*2</f>
        <v>836732</v>
      </c>
      <c r="L14" s="89">
        <f>'MONTHLY STATS'!$C$93*2</f>
        <v>108006</v>
      </c>
      <c r="M14" s="89">
        <f>'MONTHLY STATS'!$C$101*2</f>
        <v>877298</v>
      </c>
      <c r="N14" s="89">
        <f>'MONTHLY STATS'!$C$109*2</f>
        <v>162942</v>
      </c>
      <c r="O14" s="90">
        <f>SUM(B14:N14)</f>
        <v>6219426</v>
      </c>
      <c r="P14" s="83"/>
    </row>
    <row r="15" spans="1:16" ht="15.75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90"/>
      <c r="P15" s="83"/>
    </row>
    <row r="16" spans="1:16" ht="15.75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90"/>
      <c r="P16" s="83"/>
    </row>
    <row r="17" spans="1:16" ht="15.75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  <c r="P17" s="83"/>
    </row>
    <row r="18" spans="1:16" ht="15.75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83"/>
    </row>
    <row r="19" spans="1:16" ht="15.7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83"/>
    </row>
    <row r="20" spans="1:16" ht="15.7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.7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>
      <c r="A23" s="91" t="s">
        <v>29</v>
      </c>
      <c r="B23" s="90">
        <f aca="true" t="shared" si="0" ref="B23:O23">SUM(B10:B21)</f>
        <v>2765078</v>
      </c>
      <c r="C23" s="90">
        <f t="shared" si="0"/>
        <v>1430264</v>
      </c>
      <c r="D23" s="90">
        <f t="shared" si="0"/>
        <v>677550</v>
      </c>
      <c r="E23" s="90">
        <f t="shared" si="0"/>
        <v>4449784</v>
      </c>
      <c r="F23" s="90">
        <f t="shared" si="0"/>
        <v>3115230</v>
      </c>
      <c r="G23" s="90">
        <f>SUM(G10:G21)</f>
        <v>1455206</v>
      </c>
      <c r="H23" s="90">
        <f t="shared" si="0"/>
        <v>1677390</v>
      </c>
      <c r="I23" s="90">
        <f>SUM(I10:I21)</f>
        <v>3409656</v>
      </c>
      <c r="J23" s="90">
        <f t="shared" si="0"/>
        <v>3780874</v>
      </c>
      <c r="K23" s="90">
        <f>SUM(K10:K21)</f>
        <v>4468798</v>
      </c>
      <c r="L23" s="90">
        <f t="shared" si="0"/>
        <v>575480</v>
      </c>
      <c r="M23" s="90">
        <f t="shared" si="0"/>
        <v>4628890</v>
      </c>
      <c r="N23" s="90">
        <f t="shared" si="0"/>
        <v>811154</v>
      </c>
      <c r="O23" s="90">
        <f t="shared" si="0"/>
        <v>33245354</v>
      </c>
      <c r="P23" s="83"/>
    </row>
    <row r="24" spans="1:16" ht="16.5" thickBot="1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5" ht="15.75" thickTop="1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5" ht="24" thickBot="1">
      <c r="A26" s="96" t="s">
        <v>30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25</v>
      </c>
      <c r="P27" s="83"/>
    </row>
    <row r="28" spans="1:16" ht="15.75">
      <c r="A28" s="105" t="s">
        <v>26</v>
      </c>
      <c r="B28" s="84" t="s">
        <v>13</v>
      </c>
      <c r="C28" s="84" t="s">
        <v>15</v>
      </c>
      <c r="D28" s="84" t="s">
        <v>56</v>
      </c>
      <c r="E28" s="275" t="s">
        <v>62</v>
      </c>
      <c r="F28" s="84" t="s">
        <v>16</v>
      </c>
      <c r="G28" s="84" t="s">
        <v>61</v>
      </c>
      <c r="H28" s="84" t="s">
        <v>17</v>
      </c>
      <c r="I28" s="84" t="s">
        <v>55</v>
      </c>
      <c r="J28" s="84" t="s">
        <v>27</v>
      </c>
      <c r="K28" s="106" t="s">
        <v>57</v>
      </c>
      <c r="L28" s="106" t="s">
        <v>53</v>
      </c>
      <c r="M28" s="106" t="s">
        <v>19</v>
      </c>
      <c r="N28" s="106" t="s">
        <v>54</v>
      </c>
      <c r="O28" s="106" t="s">
        <v>28</v>
      </c>
      <c r="P28" s="83"/>
    </row>
    <row r="29" spans="1:16" ht="16.5" thickBot="1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>
      <c r="A31" s="88">
        <f>DATE(2017,7,1)</f>
        <v>42917</v>
      </c>
      <c r="B31" s="89">
        <f>'MONTHLY STATS'!$K$9*0.21</f>
        <v>2970224.3633999997</v>
      </c>
      <c r="C31" s="89">
        <f>'MONTHLY STATS'!$K$17*0.21</f>
        <v>1567383.3440999999</v>
      </c>
      <c r="D31" s="89">
        <f>'MONTHLY STATS'!$K$25*0.21</f>
        <v>689184.5604000001</v>
      </c>
      <c r="E31" s="89">
        <f>'MONTHLY STATS'!$K$33*0.21</f>
        <v>4460600.505899999</v>
      </c>
      <c r="F31" s="89">
        <f>'MONTHLY STATS'!$K$41*0.21</f>
        <v>3566987.9028</v>
      </c>
      <c r="G31" s="89">
        <f>'MONTHLY STATS'!$K$49*0.21</f>
        <v>1196258.2758</v>
      </c>
      <c r="H31" s="89">
        <f>'MONTHLY STATS'!$K$57*0.21</f>
        <v>1299852.3132</v>
      </c>
      <c r="I31" s="89">
        <f>'MONTHLY STATS'!$K$65*0.21</f>
        <v>2631559.1526</v>
      </c>
      <c r="J31" s="89">
        <f>'MONTHLY STATS'!$K$73*0.21</f>
        <v>3431655.6056999997</v>
      </c>
      <c r="K31" s="89">
        <f>'MONTHLY STATS'!$K$81*0.21</f>
        <v>4158981.4727999996</v>
      </c>
      <c r="L31" s="89">
        <f>'MONTHLY STATS'!$K$89*0.21</f>
        <v>615218.2322999999</v>
      </c>
      <c r="M31" s="89">
        <f>'MONTHLY STATS'!$K$97*0.21</f>
        <v>4984400.1732</v>
      </c>
      <c r="N31" s="89">
        <f>'MONTHLY STATS'!$K$105*0.21</f>
        <v>696109.2914999999</v>
      </c>
      <c r="O31" s="90">
        <f>SUM(B31:N31)</f>
        <v>32268415.1937</v>
      </c>
      <c r="P31" s="83"/>
    </row>
    <row r="32" spans="1:16" ht="15.75">
      <c r="A32" s="88">
        <f>DATE(2017,8,1)</f>
        <v>42948</v>
      </c>
      <c r="B32" s="89">
        <f>'MONTHLY STATS'!$K$10*0.21</f>
        <v>2730005.7833999996</v>
      </c>
      <c r="C32" s="89">
        <f>'MONTHLY STATS'!$K$18*0.21</f>
        <v>1446273.2151</v>
      </c>
      <c r="D32" s="89">
        <f>'MONTHLY STATS'!$K$26*0.21</f>
        <v>611950.0989</v>
      </c>
      <c r="E32" s="89">
        <f>'MONTHLY STATS'!$K$34*0.21</f>
        <v>4148072.1324</v>
      </c>
      <c r="F32" s="89">
        <f>'MONTHLY STATS'!$K$42*0.21</f>
        <v>3271380.7266</v>
      </c>
      <c r="G32" s="89">
        <f>'MONTHLY STATS'!$K$50*0.21</f>
        <v>1080196.9437</v>
      </c>
      <c r="H32" s="89">
        <f>'MONTHLY STATS'!$K$58*0.21</f>
        <v>1241678.1993</v>
      </c>
      <c r="I32" s="89">
        <f>'MONTHLY STATS'!$K$66*0.21</f>
        <v>2607558.1791000003</v>
      </c>
      <c r="J32" s="89">
        <f>'MONTHLY STATS'!$K$74*0.21</f>
        <v>3216207.9705</v>
      </c>
      <c r="K32" s="89">
        <f>'MONTHLY STATS'!$K$82*0.21</f>
        <v>3904257.0357000004</v>
      </c>
      <c r="L32" s="89">
        <f>'MONTHLY STATS'!$K$90*0.21</f>
        <v>561287.9495999999</v>
      </c>
      <c r="M32" s="89">
        <f>'MONTHLY STATS'!$K$98*0.21</f>
        <v>4495265.4348</v>
      </c>
      <c r="N32" s="89">
        <f>'MONTHLY STATS'!$K$106*0.21</f>
        <v>679291.1853</v>
      </c>
      <c r="O32" s="90">
        <f>SUM(B32:N32)</f>
        <v>29993424.8544</v>
      </c>
      <c r="P32" s="83"/>
    </row>
    <row r="33" spans="1:16" ht="15.75">
      <c r="A33" s="88">
        <f>DATE(2017,9,1)</f>
        <v>42979</v>
      </c>
      <c r="B33" s="89">
        <f>'MONTHLY STATS'!$K$11*0.21</f>
        <v>2851205.0889</v>
      </c>
      <c r="C33" s="89">
        <f>'MONTHLY STATS'!$K$19*0.21</f>
        <v>1403454.1689</v>
      </c>
      <c r="D33" s="89">
        <f>'MONTHLY STATS'!$K$27*0.21</f>
        <v>681119.3676</v>
      </c>
      <c r="E33" s="89">
        <f>'MONTHLY STATS'!$K$35*0.21</f>
        <v>4198608.9096</v>
      </c>
      <c r="F33" s="89">
        <f>'MONTHLY STATS'!$K$43*0.21</f>
        <v>3271438.7937</v>
      </c>
      <c r="G33" s="89">
        <f>'MONTHLY STATS'!$K$51*0.21</f>
        <v>1236655.9485</v>
      </c>
      <c r="H33" s="89">
        <f>'MONTHLY STATS'!$K$59*0.21</f>
        <v>1239769.8054</v>
      </c>
      <c r="I33" s="89">
        <f>'MONTHLY STATS'!$K$67*0.21</f>
        <v>2483460.4368</v>
      </c>
      <c r="J33" s="89">
        <f>'MONTHLY STATS'!$K$75*0.21</f>
        <v>3367825.5848999997</v>
      </c>
      <c r="K33" s="89">
        <f>'MONTHLY STATS'!$K$83*0.21</f>
        <v>3930696.8672999996</v>
      </c>
      <c r="L33" s="89">
        <f>'MONTHLY STATS'!$K$91*0.21</f>
        <v>580527.9207</v>
      </c>
      <c r="M33" s="89">
        <f>'MONTHLY STATS'!$K$99*0.21</f>
        <v>4621118.1156</v>
      </c>
      <c r="N33" s="89">
        <f>'MONTHLY STATS'!$K$107*0.21</f>
        <v>728363.58</v>
      </c>
      <c r="O33" s="90">
        <f>SUM(B33:N33)</f>
        <v>30594244.587899998</v>
      </c>
      <c r="P33" s="83"/>
    </row>
    <row r="34" spans="1:16" ht="15.75">
      <c r="A34" s="88">
        <f>DATE(2017,10,1)</f>
        <v>43009</v>
      </c>
      <c r="B34" s="89">
        <f>'MONTHLY STATS'!$K$12*0.21</f>
        <v>2774120.6199</v>
      </c>
      <c r="C34" s="89">
        <f>'MONTHLY STATS'!$K$20*0.21</f>
        <v>1312497.4506</v>
      </c>
      <c r="D34" s="89">
        <f>'MONTHLY STATS'!$K$28*0.21</f>
        <v>607621.4151</v>
      </c>
      <c r="E34" s="89">
        <f>'MONTHLY STATS'!$K$36*0.21</f>
        <v>3811625.0528999995</v>
      </c>
      <c r="F34" s="89">
        <f>'MONTHLY STATS'!$K$44*0.21</f>
        <v>3015099.1857</v>
      </c>
      <c r="G34" s="89">
        <f>'MONTHLY STATS'!$K$52*0.21</f>
        <v>1085165.55</v>
      </c>
      <c r="H34" s="89">
        <f>'MONTHLY STATS'!$K$60*0.21</f>
        <v>1213878.2375999999</v>
      </c>
      <c r="I34" s="89">
        <f>'MONTHLY STATS'!$K$68*0.21</f>
        <v>2351178.4694999997</v>
      </c>
      <c r="J34" s="89">
        <f>'MONTHLY STATS'!$K$76*0.21</f>
        <v>3205747.0326</v>
      </c>
      <c r="K34" s="89">
        <f>'MONTHLY STATS'!$K$84*0.21</f>
        <v>3733286.8083</v>
      </c>
      <c r="L34" s="89">
        <f>'MONTHLY STATS'!$K$92*0.21</f>
        <v>538448.7065999999</v>
      </c>
      <c r="M34" s="89">
        <f>'MONTHLY STATS'!$K$100*0.21</f>
        <v>4421145.813</v>
      </c>
      <c r="N34" s="89">
        <f>'MONTHLY STATS'!$K$108*0.21</f>
        <v>707761.2779999999</v>
      </c>
      <c r="O34" s="90">
        <f>SUM(B34:N34)</f>
        <v>28777575.6198</v>
      </c>
      <c r="P34" s="83"/>
    </row>
    <row r="35" spans="1:16" ht="15.75">
      <c r="A35" s="88">
        <f>DATE(2017,11,1)</f>
        <v>43040</v>
      </c>
      <c r="B35" s="89">
        <f>'MONTHLY STATS'!$K$13*0.21</f>
        <v>2972302.2357</v>
      </c>
      <c r="C35" s="89">
        <f>'MONTHLY STATS'!$K$21*0.21</f>
        <v>1323259.5536999998</v>
      </c>
      <c r="D35" s="89">
        <f>'MONTHLY STATS'!$K$29*0.21</f>
        <v>596961.8928</v>
      </c>
      <c r="E35" s="89">
        <f>'MONTHLY STATS'!$K$37*0.21</f>
        <v>3878430.1878</v>
      </c>
      <c r="F35" s="89">
        <f>'MONTHLY STATS'!$K$45*0.21</f>
        <v>2960917.0878</v>
      </c>
      <c r="G35" s="89">
        <f>'MONTHLY STATS'!$K$53*0.21</f>
        <v>1062825.2691</v>
      </c>
      <c r="H35" s="89">
        <f>'MONTHLY STATS'!$K$61*0.21</f>
        <v>1202665.674</v>
      </c>
      <c r="I35" s="89">
        <f>'MONTHLY STATS'!$K$69*0.21</f>
        <v>2526011.5272</v>
      </c>
      <c r="J35" s="89">
        <f>'MONTHLY STATS'!$K$77*0.21</f>
        <v>3104131.7097</v>
      </c>
      <c r="K35" s="89">
        <f>'MONTHLY STATS'!$K$85*0.21</f>
        <v>3703205.8328999993</v>
      </c>
      <c r="L35" s="89">
        <f>'MONTHLY STATS'!$K$93*0.21</f>
        <v>523075.66290000005</v>
      </c>
      <c r="M35" s="89">
        <f>'MONTHLY STATS'!$K$101*0.21</f>
        <v>4390990.6173</v>
      </c>
      <c r="N35" s="89">
        <f>'MONTHLY STATS'!$K$109*0.21</f>
        <v>719152.7847</v>
      </c>
      <c r="O35" s="90">
        <f>SUM(B35:N35)</f>
        <v>28963930.0356</v>
      </c>
      <c r="P35" s="83"/>
    </row>
    <row r="36" spans="1:16" ht="15.75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90"/>
      <c r="P36" s="83"/>
    </row>
    <row r="37" spans="1:16" ht="15.75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90"/>
      <c r="P37" s="83"/>
    </row>
    <row r="38" spans="1:16" ht="15.7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90"/>
      <c r="P38" s="83"/>
    </row>
    <row r="39" spans="1:16" ht="15.75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90"/>
      <c r="P39" s="83"/>
    </row>
    <row r="40" spans="1:16" ht="15.7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  <c r="P40" s="83"/>
    </row>
    <row r="41" spans="1:16" ht="15.7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.7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>
      <c r="A44" s="91" t="s">
        <v>29</v>
      </c>
      <c r="B44" s="90">
        <f aca="true" t="shared" si="1" ref="B44:O44">SUM(B31:B42)</f>
        <v>14297858.0913</v>
      </c>
      <c r="C44" s="90">
        <f t="shared" si="1"/>
        <v>7052867.7324</v>
      </c>
      <c r="D44" s="90">
        <f t="shared" si="1"/>
        <v>3186837.3348</v>
      </c>
      <c r="E44" s="90">
        <f t="shared" si="1"/>
        <v>20497336.788599998</v>
      </c>
      <c r="F44" s="90">
        <f t="shared" si="1"/>
        <v>16085823.6966</v>
      </c>
      <c r="G44" s="90">
        <f t="shared" si="1"/>
        <v>5661101.9871</v>
      </c>
      <c r="H44" s="90">
        <f t="shared" si="1"/>
        <v>6197844.229499999</v>
      </c>
      <c r="I44" s="90">
        <f>SUM(I31:I42)</f>
        <v>12599767.7652</v>
      </c>
      <c r="J44" s="90">
        <f t="shared" si="1"/>
        <v>16325567.903399998</v>
      </c>
      <c r="K44" s="90">
        <f>SUM(K31:K42)</f>
        <v>19430428.017</v>
      </c>
      <c r="L44" s="90">
        <f t="shared" si="1"/>
        <v>2818558.4721</v>
      </c>
      <c r="M44" s="90">
        <f t="shared" si="1"/>
        <v>22912920.1539</v>
      </c>
      <c r="N44" s="90">
        <f t="shared" si="1"/>
        <v>3530678.1195</v>
      </c>
      <c r="O44" s="90">
        <f t="shared" si="1"/>
        <v>150597590.29140002</v>
      </c>
      <c r="P44" s="83"/>
    </row>
    <row r="45" spans="1:16" ht="16.5" thickBot="1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5" ht="15.75" thickTop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5" ht="15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15" ht="15">
      <c r="A48" s="287"/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</row>
    <row r="49" spans="1:9" ht="15.75">
      <c r="A49" s="115" t="s">
        <v>31</v>
      </c>
      <c r="B49" s="98"/>
      <c r="C49" s="98"/>
      <c r="D49" s="98"/>
      <c r="E49" s="98"/>
      <c r="F49" s="98"/>
      <c r="G49" s="98"/>
      <c r="H49" s="98"/>
      <c r="I49" s="98"/>
    </row>
    <row r="50" spans="1:9" ht="15.75">
      <c r="A50" s="115"/>
      <c r="B50" s="98"/>
      <c r="C50" s="98"/>
      <c r="D50" s="98"/>
      <c r="E50" s="98"/>
      <c r="F50" s="98"/>
      <c r="G50" s="98"/>
      <c r="H50" s="98"/>
      <c r="I50" s="98"/>
    </row>
    <row r="51" ht="15.75">
      <c r="A51" s="72"/>
    </row>
  </sheetData>
  <sheetProtection/>
  <printOptions horizontalCentered="1"/>
  <pageMargins left="0.3" right="0.05" top="0.319444444444444" bottom="0.25" header="0.5" footer="0.5"/>
  <pageSetup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8"/>
  <sheetViews>
    <sheetView showOutlineSymbols="0" zoomScalePageLayoutView="0" workbookViewId="0" topLeftCell="A1">
      <selection activeCell="A5" sqref="A5"/>
    </sheetView>
  </sheetViews>
  <sheetFormatPr defaultColWidth="9.6640625" defaultRowHeight="15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 customWidth="1"/>
  </cols>
  <sheetData>
    <row r="1" spans="1:7" ht="18">
      <c r="A1" s="116" t="s">
        <v>0</v>
      </c>
      <c r="B1" s="117"/>
      <c r="C1" s="200"/>
      <c r="D1" s="200"/>
      <c r="E1" s="200"/>
      <c r="F1" s="117"/>
      <c r="G1" s="210"/>
    </row>
    <row r="2" spans="1:7" ht="18" customHeight="1">
      <c r="A2" s="119" t="s">
        <v>32</v>
      </c>
      <c r="B2" s="117"/>
      <c r="C2" s="200"/>
      <c r="D2" s="200"/>
      <c r="E2" s="200"/>
      <c r="F2" s="117"/>
      <c r="G2" s="210"/>
    </row>
    <row r="3" spans="1:7" ht="18" customHeight="1">
      <c r="A3" s="283" t="s">
        <v>72</v>
      </c>
      <c r="B3" s="117"/>
      <c r="C3" s="200"/>
      <c r="D3" s="200"/>
      <c r="E3" s="200"/>
      <c r="F3" s="117"/>
      <c r="G3" s="210"/>
    </row>
    <row r="4" spans="1:7" ht="15">
      <c r="A4" s="284" t="s">
        <v>73</v>
      </c>
      <c r="B4" s="117"/>
      <c r="C4" s="200"/>
      <c r="D4" s="200"/>
      <c r="E4" s="200"/>
      <c r="F4" s="117"/>
      <c r="G4" s="210"/>
    </row>
    <row r="5" spans="1:7" ht="15.75">
      <c r="A5" s="117"/>
      <c r="B5" s="117"/>
      <c r="C5" s="200"/>
      <c r="D5" s="200"/>
      <c r="E5" s="200"/>
      <c r="F5" s="117"/>
      <c r="G5" s="211" t="s">
        <v>1</v>
      </c>
    </row>
    <row r="6" spans="1:8" ht="16.5" thickTop="1">
      <c r="A6" s="120"/>
      <c r="B6" s="121" t="s">
        <v>2</v>
      </c>
      <c r="C6" s="201" t="s">
        <v>33</v>
      </c>
      <c r="D6" s="201" t="s">
        <v>33</v>
      </c>
      <c r="E6" s="201" t="s">
        <v>3</v>
      </c>
      <c r="F6" s="122"/>
      <c r="G6" s="212" t="s">
        <v>34</v>
      </c>
      <c r="H6" s="123"/>
    </row>
    <row r="7" spans="1:8" ht="16.5" thickBot="1">
      <c r="A7" s="124" t="s">
        <v>5</v>
      </c>
      <c r="B7" s="125" t="s">
        <v>6</v>
      </c>
      <c r="C7" s="262" t="s">
        <v>35</v>
      </c>
      <c r="D7" s="202" t="s">
        <v>36</v>
      </c>
      <c r="E7" s="202" t="s">
        <v>36</v>
      </c>
      <c r="F7" s="126" t="s">
        <v>8</v>
      </c>
      <c r="G7" s="213" t="s">
        <v>37</v>
      </c>
      <c r="H7" s="123"/>
    </row>
    <row r="8" spans="1:8" ht="15.75" customHeight="1" thickTop="1">
      <c r="A8" s="127"/>
      <c r="B8" s="128"/>
      <c r="C8" s="203"/>
      <c r="D8" s="203"/>
      <c r="E8" s="203"/>
      <c r="F8" s="129"/>
      <c r="G8" s="214"/>
      <c r="H8" s="123"/>
    </row>
    <row r="9" spans="1:8" ht="15.75">
      <c r="A9" s="130" t="s">
        <v>38</v>
      </c>
      <c r="B9" s="131">
        <f>DATE(2017,7,1)</f>
        <v>42917</v>
      </c>
      <c r="C9" s="204">
        <v>9106294</v>
      </c>
      <c r="D9" s="204">
        <v>1744231.98</v>
      </c>
      <c r="E9" s="204">
        <v>1196577.74</v>
      </c>
      <c r="F9" s="132">
        <f>(+D9-E9)/E9</f>
        <v>0.4576837941177144</v>
      </c>
      <c r="G9" s="215">
        <f>D9/C9</f>
        <v>0.1915413646868858</v>
      </c>
      <c r="H9" s="123"/>
    </row>
    <row r="10" spans="1:8" ht="15.75">
      <c r="A10" s="130"/>
      <c r="B10" s="131">
        <f>DATE(2017,8,1)</f>
        <v>42948</v>
      </c>
      <c r="C10" s="204">
        <v>7945722</v>
      </c>
      <c r="D10" s="204">
        <v>1558308</v>
      </c>
      <c r="E10" s="204">
        <v>1298265.83</v>
      </c>
      <c r="F10" s="132">
        <f>(+D10-E10)/E10</f>
        <v>0.20029963355039537</v>
      </c>
      <c r="G10" s="215">
        <f>D10/C10</f>
        <v>0.19611911919395117</v>
      </c>
      <c r="H10" s="123"/>
    </row>
    <row r="11" spans="1:8" ht="15.75">
      <c r="A11" s="130"/>
      <c r="B11" s="131">
        <f>DATE(2017,9,1)</f>
        <v>42979</v>
      </c>
      <c r="C11" s="204">
        <v>8101748</v>
      </c>
      <c r="D11" s="204">
        <v>1764006.5</v>
      </c>
      <c r="E11" s="204">
        <v>1352172.02</v>
      </c>
      <c r="F11" s="132">
        <f>(+D11-E11)/E11</f>
        <v>0.3045725498742386</v>
      </c>
      <c r="G11" s="215">
        <f>D11/C11</f>
        <v>0.21773159323148536</v>
      </c>
      <c r="H11" s="123"/>
    </row>
    <row r="12" spans="1:8" ht="15.75">
      <c r="A12" s="130"/>
      <c r="B12" s="131">
        <f>DATE(2017,10,1)</f>
        <v>43009</v>
      </c>
      <c r="C12" s="204">
        <v>9041484</v>
      </c>
      <c r="D12" s="204">
        <v>1651958.5</v>
      </c>
      <c r="E12" s="204">
        <v>1471793</v>
      </c>
      <c r="F12" s="132">
        <f>(+D12-E12)/E12</f>
        <v>0.12241225498422673</v>
      </c>
      <c r="G12" s="215">
        <f>D12/C12</f>
        <v>0.1827087787801206</v>
      </c>
      <c r="H12" s="123"/>
    </row>
    <row r="13" spans="1:8" ht="15.75">
      <c r="A13" s="130"/>
      <c r="B13" s="131">
        <f>DATE(2017,11,1)</f>
        <v>43040</v>
      </c>
      <c r="C13" s="204">
        <v>9136142</v>
      </c>
      <c r="D13" s="204">
        <v>2257240.5</v>
      </c>
      <c r="E13" s="204">
        <v>1464113</v>
      </c>
      <c r="F13" s="132">
        <f>(+D13-E13)/E13</f>
        <v>0.54171194436495</v>
      </c>
      <c r="G13" s="215">
        <f>D13/C13</f>
        <v>0.2470671427830259</v>
      </c>
      <c r="H13" s="123"/>
    </row>
    <row r="14" spans="1:8" ht="15.75" thickBot="1">
      <c r="A14" s="133"/>
      <c r="B14" s="134"/>
      <c r="C14" s="204"/>
      <c r="D14" s="204"/>
      <c r="E14" s="204"/>
      <c r="F14" s="132"/>
      <c r="G14" s="215"/>
      <c r="H14" s="123"/>
    </row>
    <row r="15" spans="1:8" ht="17.25" thickBot="1" thickTop="1">
      <c r="A15" s="135" t="s">
        <v>14</v>
      </c>
      <c r="B15" s="136"/>
      <c r="C15" s="201">
        <f>SUM(C9:C14)</f>
        <v>43331390</v>
      </c>
      <c r="D15" s="201">
        <f>SUM(D9:D14)</f>
        <v>8975745.48</v>
      </c>
      <c r="E15" s="201">
        <f>SUM(E9:E14)</f>
        <v>6782921.59</v>
      </c>
      <c r="F15" s="137">
        <f>(+D15-E15)/E15</f>
        <v>0.32328604435481917</v>
      </c>
      <c r="G15" s="212">
        <f>D15/C15</f>
        <v>0.2071418775165071</v>
      </c>
      <c r="H15" s="123"/>
    </row>
    <row r="16" spans="1:8" ht="15.75" customHeight="1" thickTop="1">
      <c r="A16" s="138"/>
      <c r="B16" s="139"/>
      <c r="C16" s="205"/>
      <c r="D16" s="205"/>
      <c r="E16" s="205"/>
      <c r="F16" s="140"/>
      <c r="G16" s="216"/>
      <c r="H16" s="123"/>
    </row>
    <row r="17" spans="1:8" ht="15.75">
      <c r="A17" s="19" t="s">
        <v>15</v>
      </c>
      <c r="B17" s="131">
        <f>DATE(2017,7,1)</f>
        <v>42917</v>
      </c>
      <c r="C17" s="204">
        <v>2522382</v>
      </c>
      <c r="D17" s="204">
        <v>642088</v>
      </c>
      <c r="E17" s="204">
        <v>472086</v>
      </c>
      <c r="F17" s="132">
        <f>(+D17-E17)/E17</f>
        <v>0.36010811589413794</v>
      </c>
      <c r="G17" s="215">
        <f>D17/C17</f>
        <v>0.254556209170538</v>
      </c>
      <c r="H17" s="123"/>
    </row>
    <row r="18" spans="1:8" ht="15.75">
      <c r="A18" s="19"/>
      <c r="B18" s="131">
        <f>DATE(2017,8,1)</f>
        <v>42948</v>
      </c>
      <c r="C18" s="204">
        <v>2406702</v>
      </c>
      <c r="D18" s="204">
        <v>490413</v>
      </c>
      <c r="E18" s="204">
        <v>589363</v>
      </c>
      <c r="F18" s="132">
        <f>(+D18-E18)/E18</f>
        <v>-0.16789313207649614</v>
      </c>
      <c r="G18" s="215">
        <f>D18/C18</f>
        <v>0.2037697230483874</v>
      </c>
      <c r="H18" s="123"/>
    </row>
    <row r="19" spans="1:8" ht="15.75">
      <c r="A19" s="19"/>
      <c r="B19" s="131">
        <f>DATE(2017,9,1)</f>
        <v>42979</v>
      </c>
      <c r="C19" s="204">
        <v>2522640</v>
      </c>
      <c r="D19" s="204">
        <v>534707</v>
      </c>
      <c r="E19" s="204">
        <v>511288.5</v>
      </c>
      <c r="F19" s="132">
        <f>(+D19-E19)/E19</f>
        <v>0.045802907751690096</v>
      </c>
      <c r="G19" s="215">
        <f>D19/C19</f>
        <v>0.21196326071100116</v>
      </c>
      <c r="H19" s="123"/>
    </row>
    <row r="20" spans="1:8" ht="15.75">
      <c r="A20" s="19"/>
      <c r="B20" s="131">
        <f>DATE(2017,10,1)</f>
        <v>43009</v>
      </c>
      <c r="C20" s="204">
        <v>2455957</v>
      </c>
      <c r="D20" s="204">
        <v>515461.5</v>
      </c>
      <c r="E20" s="204">
        <v>462287</v>
      </c>
      <c r="F20" s="132">
        <f>(+D20-E20)/E20</f>
        <v>0.11502486550562746</v>
      </c>
      <c r="G20" s="215">
        <f>D20/C20</f>
        <v>0.2098821355585623</v>
      </c>
      <c r="H20" s="123"/>
    </row>
    <row r="21" spans="1:8" ht="15.75">
      <c r="A21" s="19"/>
      <c r="B21" s="131">
        <f>DATE(2017,11,1)</f>
        <v>43040</v>
      </c>
      <c r="C21" s="204">
        <v>2375566</v>
      </c>
      <c r="D21" s="204">
        <v>483129.5</v>
      </c>
      <c r="E21" s="204">
        <v>524259.5</v>
      </c>
      <c r="F21" s="132">
        <f>(+D21-E21)/E21</f>
        <v>-0.07845351395635176</v>
      </c>
      <c r="G21" s="215">
        <f>D21/C21</f>
        <v>0.2033744800186566</v>
      </c>
      <c r="H21" s="123"/>
    </row>
    <row r="22" spans="1:8" ht="15.75" thickBot="1">
      <c r="A22" s="133"/>
      <c r="B22" s="131"/>
      <c r="C22" s="204"/>
      <c r="D22" s="204"/>
      <c r="E22" s="204"/>
      <c r="F22" s="132"/>
      <c r="G22" s="215"/>
      <c r="H22" s="123"/>
    </row>
    <row r="23" spans="1:8" ht="17.25" thickBot="1" thickTop="1">
      <c r="A23" s="135" t="s">
        <v>14</v>
      </c>
      <c r="B23" s="136"/>
      <c r="C23" s="201">
        <f>SUM(C17:C22)</f>
        <v>12283247</v>
      </c>
      <c r="D23" s="201">
        <f>SUM(D17:D22)</f>
        <v>2665799</v>
      </c>
      <c r="E23" s="201">
        <f>SUM(E17:E22)</f>
        <v>2559284</v>
      </c>
      <c r="F23" s="137">
        <f>(+D23-E23)/E23</f>
        <v>0.04161906220646087</v>
      </c>
      <c r="G23" s="212">
        <f>D23/C23</f>
        <v>0.21702722415335293</v>
      </c>
      <c r="H23" s="123"/>
    </row>
    <row r="24" spans="1:8" ht="15.75" customHeight="1" thickTop="1">
      <c r="A24" s="255"/>
      <c r="B24" s="139"/>
      <c r="C24" s="205"/>
      <c r="D24" s="205"/>
      <c r="E24" s="205"/>
      <c r="F24" s="140"/>
      <c r="G24" s="219"/>
      <c r="H24" s="123"/>
    </row>
    <row r="25" spans="1:8" ht="15.75">
      <c r="A25" s="19" t="s">
        <v>56</v>
      </c>
      <c r="B25" s="131">
        <f>DATE(2017,7,1)</f>
        <v>42917</v>
      </c>
      <c r="C25" s="204">
        <v>1479706</v>
      </c>
      <c r="D25" s="204">
        <v>330815.5</v>
      </c>
      <c r="E25" s="204">
        <v>360412.5</v>
      </c>
      <c r="F25" s="132">
        <f>(+D25-E25)/E25</f>
        <v>-0.08211979329240801</v>
      </c>
      <c r="G25" s="215">
        <f>D25/C25</f>
        <v>0.223568398046639</v>
      </c>
      <c r="H25" s="123"/>
    </row>
    <row r="26" spans="1:8" ht="15.75">
      <c r="A26" s="19"/>
      <c r="B26" s="131">
        <f>DATE(2017,8,1)</f>
        <v>42948</v>
      </c>
      <c r="C26" s="204">
        <v>1531572</v>
      </c>
      <c r="D26" s="204">
        <v>326287.5</v>
      </c>
      <c r="E26" s="204">
        <v>239413.5</v>
      </c>
      <c r="F26" s="132">
        <f>(+D26-E26)/E26</f>
        <v>0.36286174338539806</v>
      </c>
      <c r="G26" s="215">
        <f>D26/C26</f>
        <v>0.21304091482476828</v>
      </c>
      <c r="H26" s="123"/>
    </row>
    <row r="27" spans="1:8" ht="15.75">
      <c r="A27" s="19"/>
      <c r="B27" s="131">
        <f>DATE(2017,9,1)</f>
        <v>42979</v>
      </c>
      <c r="C27" s="204">
        <v>1408112</v>
      </c>
      <c r="D27" s="204">
        <v>453438</v>
      </c>
      <c r="E27" s="204">
        <v>301041.5</v>
      </c>
      <c r="F27" s="132">
        <f>(+D27-E27)/E27</f>
        <v>0.5062308685015189</v>
      </c>
      <c r="G27" s="215">
        <f>D27/C27</f>
        <v>0.3220184189893986</v>
      </c>
      <c r="H27" s="123"/>
    </row>
    <row r="28" spans="1:8" ht="15.75">
      <c r="A28" s="19"/>
      <c r="B28" s="131">
        <f>DATE(2017,10,1)</f>
        <v>43009</v>
      </c>
      <c r="C28" s="204">
        <v>1260391</v>
      </c>
      <c r="D28" s="204">
        <v>325504</v>
      </c>
      <c r="E28" s="204">
        <v>288579</v>
      </c>
      <c r="F28" s="132">
        <f>(+D28-E28)/E28</f>
        <v>0.1279545635683816</v>
      </c>
      <c r="G28" s="215">
        <f>D28/C28</f>
        <v>0.25825636647675204</v>
      </c>
      <c r="H28" s="123"/>
    </row>
    <row r="29" spans="1:8" ht="15.75">
      <c r="A29" s="19"/>
      <c r="B29" s="131">
        <f>DATE(2017,11,1)</f>
        <v>43040</v>
      </c>
      <c r="C29" s="204">
        <v>1296139</v>
      </c>
      <c r="D29" s="204">
        <v>300283</v>
      </c>
      <c r="E29" s="204">
        <v>327940.5</v>
      </c>
      <c r="F29" s="132">
        <f>(+D29-E29)/E29</f>
        <v>-0.08433694526903508</v>
      </c>
      <c r="G29" s="215">
        <f>D29/C29</f>
        <v>0.2316749978204498</v>
      </c>
      <c r="H29" s="123"/>
    </row>
    <row r="30" spans="1:8" ht="15.75" thickBot="1">
      <c r="A30" s="133"/>
      <c r="B30" s="131"/>
      <c r="C30" s="204"/>
      <c r="D30" s="204"/>
      <c r="E30" s="204"/>
      <c r="F30" s="132"/>
      <c r="G30" s="215"/>
      <c r="H30" s="123"/>
    </row>
    <row r="31" spans="1:8" ht="17.25" thickBot="1" thickTop="1">
      <c r="A31" s="141" t="s">
        <v>14</v>
      </c>
      <c r="B31" s="142"/>
      <c r="C31" s="206">
        <f>SUM(C25:C30)</f>
        <v>6975920</v>
      </c>
      <c r="D31" s="206">
        <f>SUM(D25:D30)</f>
        <v>1736328</v>
      </c>
      <c r="E31" s="206">
        <f>SUM(E25:E30)</f>
        <v>1517387</v>
      </c>
      <c r="F31" s="143">
        <f>(+D31-E31)/E31</f>
        <v>0.1442881743418126</v>
      </c>
      <c r="G31" s="217">
        <f>D31/C31</f>
        <v>0.24890308375096046</v>
      </c>
      <c r="H31" s="123"/>
    </row>
    <row r="32" spans="1:8" ht="15.75" thickTop="1">
      <c r="A32" s="133"/>
      <c r="B32" s="134"/>
      <c r="C32" s="204"/>
      <c r="D32" s="204"/>
      <c r="E32" s="204"/>
      <c r="F32" s="132"/>
      <c r="G32" s="218"/>
      <c r="H32" s="123"/>
    </row>
    <row r="33" spans="1:8" ht="15.75">
      <c r="A33" s="177" t="s">
        <v>65</v>
      </c>
      <c r="B33" s="131">
        <f>DATE(2017,7,1)</f>
        <v>42917</v>
      </c>
      <c r="C33" s="204">
        <v>15842408</v>
      </c>
      <c r="D33" s="204">
        <v>3444883.46</v>
      </c>
      <c r="E33" s="204">
        <v>3130542.12</v>
      </c>
      <c r="F33" s="132">
        <f>(+D33-E33)/E33</f>
        <v>0.10041115179117917</v>
      </c>
      <c r="G33" s="215">
        <f>D33/C33</f>
        <v>0.21744696008334086</v>
      </c>
      <c r="H33" s="123"/>
    </row>
    <row r="34" spans="1:8" ht="15.75">
      <c r="A34" s="177"/>
      <c r="B34" s="131">
        <f>DATE(2017,8,1)</f>
        <v>42948</v>
      </c>
      <c r="C34" s="204">
        <v>13052978</v>
      </c>
      <c r="D34" s="204">
        <v>2738890.99</v>
      </c>
      <c r="E34" s="204">
        <v>3206208.5</v>
      </c>
      <c r="F34" s="132">
        <f>(+D34-E34)/E34</f>
        <v>-0.14575393646420678</v>
      </c>
      <c r="G34" s="215">
        <f>D34/C34</f>
        <v>0.20982882143829557</v>
      </c>
      <c r="H34" s="123"/>
    </row>
    <row r="35" spans="1:8" ht="15.75">
      <c r="A35" s="177"/>
      <c r="B35" s="131">
        <f>DATE(2017,9,1)</f>
        <v>42979</v>
      </c>
      <c r="C35" s="204">
        <v>13344756</v>
      </c>
      <c r="D35" s="204">
        <v>3077099.69</v>
      </c>
      <c r="E35" s="204">
        <v>2415045.66</v>
      </c>
      <c r="F35" s="132">
        <f>(+D35-E35)/E35</f>
        <v>0.27413727241910607</v>
      </c>
      <c r="G35" s="215">
        <f>D35/C35</f>
        <v>0.2305849346364969</v>
      </c>
      <c r="H35" s="123"/>
    </row>
    <row r="36" spans="1:8" ht="15.75">
      <c r="A36" s="177"/>
      <c r="B36" s="131">
        <f>DATE(2017,10,1)</f>
        <v>43009</v>
      </c>
      <c r="C36" s="204">
        <v>13971709.25</v>
      </c>
      <c r="D36" s="204">
        <v>2596719.93</v>
      </c>
      <c r="E36" s="204">
        <v>3125907.93</v>
      </c>
      <c r="F36" s="132">
        <f>(+D36-E36)/E36</f>
        <v>-0.16929097460653614</v>
      </c>
      <c r="G36" s="215">
        <f>D36/C36</f>
        <v>0.18585556595375044</v>
      </c>
      <c r="H36" s="123"/>
    </row>
    <row r="37" spans="1:8" ht="15.75">
      <c r="A37" s="177"/>
      <c r="B37" s="131">
        <f>DATE(2017,11,1)</f>
        <v>43040</v>
      </c>
      <c r="C37" s="204">
        <v>14387126.5</v>
      </c>
      <c r="D37" s="204">
        <v>2954236.04</v>
      </c>
      <c r="E37" s="204">
        <v>2966258.88</v>
      </c>
      <c r="F37" s="132">
        <f>(+D37-E37)/E37</f>
        <v>-0.00405319983399421</v>
      </c>
      <c r="G37" s="215">
        <f>D37/C37</f>
        <v>0.20533885206333594</v>
      </c>
      <c r="H37" s="123"/>
    </row>
    <row r="38" spans="1:8" ht="15.75" customHeight="1" thickBot="1">
      <c r="A38" s="133"/>
      <c r="B38" s="134"/>
      <c r="C38" s="204"/>
      <c r="D38" s="204"/>
      <c r="E38" s="204"/>
      <c r="F38" s="132"/>
      <c r="G38" s="215"/>
      <c r="H38" s="123"/>
    </row>
    <row r="39" spans="1:8" ht="17.25" customHeight="1" thickBot="1" thickTop="1">
      <c r="A39" s="141" t="s">
        <v>14</v>
      </c>
      <c r="B39" s="142"/>
      <c r="C39" s="206">
        <f>SUM(C33:C38)</f>
        <v>70598977.75</v>
      </c>
      <c r="D39" s="206">
        <f>SUM(D33:D38)</f>
        <v>14811830.11</v>
      </c>
      <c r="E39" s="206">
        <f>SUM(E33:E38)</f>
        <v>14843963.09</v>
      </c>
      <c r="F39" s="143">
        <f>(+D39-E39)/E39</f>
        <v>-0.0021647170506404463</v>
      </c>
      <c r="G39" s="217">
        <f>D39/C39</f>
        <v>0.20980233116760674</v>
      </c>
      <c r="H39" s="123"/>
    </row>
    <row r="40" spans="1:8" ht="15.75" customHeight="1" thickTop="1">
      <c r="A40" s="133"/>
      <c r="B40" s="134"/>
      <c r="C40" s="204"/>
      <c r="D40" s="204"/>
      <c r="E40" s="204"/>
      <c r="F40" s="132"/>
      <c r="G40" s="218"/>
      <c r="H40" s="123"/>
    </row>
    <row r="41" spans="1:8" ht="15" customHeight="1">
      <c r="A41" s="130" t="s">
        <v>39</v>
      </c>
      <c r="B41" s="131">
        <f>DATE(2017,7,1)</f>
        <v>42917</v>
      </c>
      <c r="C41" s="204">
        <v>17883666</v>
      </c>
      <c r="D41" s="204">
        <v>4596352</v>
      </c>
      <c r="E41" s="204">
        <v>2718467</v>
      </c>
      <c r="F41" s="132">
        <f>(+D41-E41)/E41</f>
        <v>0.6907882273354798</v>
      </c>
      <c r="G41" s="215">
        <f>D41/C41</f>
        <v>0.25701397017815025</v>
      </c>
      <c r="H41" s="123"/>
    </row>
    <row r="42" spans="1:8" ht="15" customHeight="1">
      <c r="A42" s="130"/>
      <c r="B42" s="131">
        <f>DATE(2017,8,1)</f>
        <v>42948</v>
      </c>
      <c r="C42" s="204">
        <v>16620305</v>
      </c>
      <c r="D42" s="204">
        <v>3842200.5</v>
      </c>
      <c r="E42" s="204">
        <v>3097592</v>
      </c>
      <c r="F42" s="132">
        <f>(+D42-E42)/E42</f>
        <v>0.2403830136441468</v>
      </c>
      <c r="G42" s="215">
        <f>D42/C42</f>
        <v>0.23117508974714965</v>
      </c>
      <c r="H42" s="123"/>
    </row>
    <row r="43" spans="1:8" ht="15" customHeight="1">
      <c r="A43" s="130"/>
      <c r="B43" s="131">
        <f>DATE(2017,9,1)</f>
        <v>42979</v>
      </c>
      <c r="C43" s="204">
        <v>17068391</v>
      </c>
      <c r="D43" s="204">
        <v>3686124</v>
      </c>
      <c r="E43" s="204">
        <v>3708385.5</v>
      </c>
      <c r="F43" s="132">
        <f>(+D43-E43)/E43</f>
        <v>-0.006003016676664279</v>
      </c>
      <c r="G43" s="215">
        <f>D43/C43</f>
        <v>0.2159620083697403</v>
      </c>
      <c r="H43" s="123"/>
    </row>
    <row r="44" spans="1:8" ht="15" customHeight="1">
      <c r="A44" s="130"/>
      <c r="B44" s="131">
        <f>DATE(2017,10,1)</f>
        <v>43009</v>
      </c>
      <c r="C44" s="204">
        <v>18396365</v>
      </c>
      <c r="D44" s="204">
        <v>2992221.5</v>
      </c>
      <c r="E44" s="204">
        <v>3396436</v>
      </c>
      <c r="F44" s="132">
        <f>(+D44-E44)/E44</f>
        <v>-0.11901136956503817</v>
      </c>
      <c r="G44" s="215">
        <f>D44/C44</f>
        <v>0.162652866476611</v>
      </c>
      <c r="H44" s="123"/>
    </row>
    <row r="45" spans="1:8" ht="15" customHeight="1">
      <c r="A45" s="130"/>
      <c r="B45" s="131">
        <f>DATE(2017,11,1)</f>
        <v>43040</v>
      </c>
      <c r="C45" s="204">
        <v>16278178</v>
      </c>
      <c r="D45" s="204">
        <v>3676452</v>
      </c>
      <c r="E45" s="204">
        <v>3220250.5</v>
      </c>
      <c r="F45" s="132">
        <f>(+D45-E45)/E45</f>
        <v>0.14166646352512016</v>
      </c>
      <c r="G45" s="215">
        <f>D45/C45</f>
        <v>0.22585156643452356</v>
      </c>
      <c r="H45" s="123"/>
    </row>
    <row r="46" spans="1:8" ht="15.75" thickBot="1">
      <c r="A46" s="133"/>
      <c r="B46" s="131"/>
      <c r="C46" s="204"/>
      <c r="D46" s="204"/>
      <c r="E46" s="204"/>
      <c r="F46" s="132"/>
      <c r="G46" s="215"/>
      <c r="H46" s="123"/>
    </row>
    <row r="47" spans="1:8" ht="17.25" customHeight="1" thickBot="1" thickTop="1">
      <c r="A47" s="141" t="s">
        <v>14</v>
      </c>
      <c r="B47" s="142"/>
      <c r="C47" s="207">
        <f>SUM(C41:C46)</f>
        <v>86246905</v>
      </c>
      <c r="D47" s="261">
        <f>SUM(D41:D46)</f>
        <v>18793350</v>
      </c>
      <c r="E47" s="206">
        <f>SUM(E41:E46)</f>
        <v>16141131</v>
      </c>
      <c r="F47" s="268">
        <f>(+D47-E47)/E47</f>
        <v>0.16431432221199369</v>
      </c>
      <c r="G47" s="267">
        <f>D47/C47</f>
        <v>0.21790173224187</v>
      </c>
      <c r="H47" s="123"/>
    </row>
    <row r="48" spans="1:8" ht="15.75" customHeight="1" thickTop="1">
      <c r="A48" s="130"/>
      <c r="B48" s="134"/>
      <c r="C48" s="204"/>
      <c r="D48" s="204"/>
      <c r="E48" s="204"/>
      <c r="F48" s="132"/>
      <c r="G48" s="218"/>
      <c r="H48" s="123"/>
    </row>
    <row r="49" spans="1:8" ht="15.75">
      <c r="A49" s="130" t="s">
        <v>66</v>
      </c>
      <c r="B49" s="131">
        <f>DATE(2017,7,1)</f>
        <v>42917</v>
      </c>
      <c r="C49" s="204">
        <v>2593382</v>
      </c>
      <c r="D49" s="204">
        <v>704742.5</v>
      </c>
      <c r="E49" s="204">
        <v>754116</v>
      </c>
      <c r="F49" s="132">
        <f>(+D49-E49)/E49</f>
        <v>-0.06547202287181282</v>
      </c>
      <c r="G49" s="215">
        <f>D49/C49</f>
        <v>0.2717465070706899</v>
      </c>
      <c r="H49" s="123"/>
    </row>
    <row r="50" spans="1:8" ht="15.75">
      <c r="A50" s="130"/>
      <c r="B50" s="131">
        <f>DATE(2017,8,1)</f>
        <v>42948</v>
      </c>
      <c r="C50" s="204">
        <v>2465059</v>
      </c>
      <c r="D50" s="204">
        <v>551376.5</v>
      </c>
      <c r="E50" s="204">
        <v>722738.5</v>
      </c>
      <c r="F50" s="132">
        <f>(+D50-E50)/E50</f>
        <v>-0.23710097082139667</v>
      </c>
      <c r="G50" s="215">
        <f>D50/C50</f>
        <v>0.22367679637688184</v>
      </c>
      <c r="H50" s="123"/>
    </row>
    <row r="51" spans="1:8" ht="15.75">
      <c r="A51" s="130"/>
      <c r="B51" s="131">
        <f>DATE(2017,9,1)</f>
        <v>42979</v>
      </c>
      <c r="C51" s="204">
        <v>2623530</v>
      </c>
      <c r="D51" s="204">
        <v>737548.5</v>
      </c>
      <c r="E51" s="204">
        <v>677597</v>
      </c>
      <c r="F51" s="132">
        <f>(+D51-E51)/E51</f>
        <v>0.08847663139004452</v>
      </c>
      <c r="G51" s="215">
        <f>D51/C51</f>
        <v>0.28112828898468856</v>
      </c>
      <c r="H51" s="123"/>
    </row>
    <row r="52" spans="1:8" ht="15.75">
      <c r="A52" s="130"/>
      <c r="B52" s="131">
        <f>DATE(2017,10,1)</f>
        <v>43009</v>
      </c>
      <c r="C52" s="204">
        <v>2441511</v>
      </c>
      <c r="D52" s="204">
        <v>599930</v>
      </c>
      <c r="E52" s="204">
        <v>567558.5</v>
      </c>
      <c r="F52" s="132">
        <f>(+D52-E52)/E52</f>
        <v>0.0570364112245698</v>
      </c>
      <c r="G52" s="215">
        <f>D52/C52</f>
        <v>0.2457207852022784</v>
      </c>
      <c r="H52" s="123"/>
    </row>
    <row r="53" spans="1:8" ht="15.75">
      <c r="A53" s="130"/>
      <c r="B53" s="131">
        <f>DATE(2017,11,1)</f>
        <v>43040</v>
      </c>
      <c r="C53" s="204">
        <v>2540148</v>
      </c>
      <c r="D53" s="204">
        <v>713068.5</v>
      </c>
      <c r="E53" s="204">
        <v>629102</v>
      </c>
      <c r="F53" s="132">
        <f>(+D53-E53)/E53</f>
        <v>0.13347040702461604</v>
      </c>
      <c r="G53" s="215">
        <f>D53/C53</f>
        <v>0.2807192730502317</v>
      </c>
      <c r="H53" s="123"/>
    </row>
    <row r="54" spans="1:8" ht="15.75" customHeight="1" thickBot="1">
      <c r="A54" s="130"/>
      <c r="B54" s="131"/>
      <c r="C54" s="204"/>
      <c r="D54" s="204"/>
      <c r="E54" s="204"/>
      <c r="F54" s="132"/>
      <c r="G54" s="215"/>
      <c r="H54" s="123"/>
    </row>
    <row r="55" spans="1:8" ht="17.25" thickBot="1" thickTop="1">
      <c r="A55" s="141" t="s">
        <v>14</v>
      </c>
      <c r="B55" s="142"/>
      <c r="C55" s="207">
        <f>SUM(C49:C54)</f>
        <v>12663630</v>
      </c>
      <c r="D55" s="261">
        <f>SUM(D49:D54)</f>
        <v>3306666</v>
      </c>
      <c r="E55" s="207">
        <f>SUM(E49:E54)</f>
        <v>3351112</v>
      </c>
      <c r="F55" s="268">
        <f>(+D55-E55)/E55</f>
        <v>-0.013263060142424366</v>
      </c>
      <c r="G55" s="267">
        <f>D55/C55</f>
        <v>0.26111517787553806</v>
      </c>
      <c r="H55" s="123"/>
    </row>
    <row r="56" spans="1:8" ht="15.75" customHeight="1" thickTop="1">
      <c r="A56" s="130"/>
      <c r="B56" s="134"/>
      <c r="C56" s="204"/>
      <c r="D56" s="204"/>
      <c r="E56" s="204"/>
      <c r="F56" s="132"/>
      <c r="G56" s="218"/>
      <c r="H56" s="123"/>
    </row>
    <row r="57" spans="1:8" ht="15.75">
      <c r="A57" s="130" t="s">
        <v>17</v>
      </c>
      <c r="B57" s="131">
        <f>DATE(2017,7,1)</f>
        <v>42917</v>
      </c>
      <c r="C57" s="204">
        <v>1774615.5</v>
      </c>
      <c r="D57" s="204">
        <v>367602</v>
      </c>
      <c r="E57" s="204">
        <v>441103</v>
      </c>
      <c r="F57" s="132">
        <f>(+D57-E57)/E57</f>
        <v>-0.1666300161186843</v>
      </c>
      <c r="G57" s="215">
        <f>D57/C57</f>
        <v>0.20714458991257542</v>
      </c>
      <c r="H57" s="123"/>
    </row>
    <row r="58" spans="1:8" ht="15.75">
      <c r="A58" s="130"/>
      <c r="B58" s="131">
        <f>DATE(2017,8,1)</f>
        <v>42948</v>
      </c>
      <c r="C58" s="204">
        <v>1671518</v>
      </c>
      <c r="D58" s="204">
        <v>327445</v>
      </c>
      <c r="E58" s="204">
        <v>347007.5</v>
      </c>
      <c r="F58" s="132">
        <f>(+D58-E58)/E58</f>
        <v>-0.056374862214793625</v>
      </c>
      <c r="G58" s="215">
        <f>D58/C58</f>
        <v>0.19589678364217436</v>
      </c>
      <c r="H58" s="123"/>
    </row>
    <row r="59" spans="1:8" ht="15.75">
      <c r="A59" s="130"/>
      <c r="B59" s="131">
        <f>DATE(2017,9,1)</f>
        <v>42979</v>
      </c>
      <c r="C59" s="204">
        <v>1667123.5</v>
      </c>
      <c r="D59" s="204">
        <v>332251.5</v>
      </c>
      <c r="E59" s="204">
        <v>308553.5</v>
      </c>
      <c r="F59" s="132">
        <f>(+D59-E59)/E59</f>
        <v>0.0768035365017736</v>
      </c>
      <c r="G59" s="215">
        <f>D59/C59</f>
        <v>0.1992962728916004</v>
      </c>
      <c r="H59" s="123"/>
    </row>
    <row r="60" spans="1:8" ht="15.75">
      <c r="A60" s="130"/>
      <c r="B60" s="131">
        <f>DATE(2017,10,1)</f>
        <v>43009</v>
      </c>
      <c r="C60" s="204">
        <v>1774605</v>
      </c>
      <c r="D60" s="204">
        <v>339253.5</v>
      </c>
      <c r="E60" s="204">
        <v>366717</v>
      </c>
      <c r="F60" s="132">
        <f>(+D60-E60)/E60</f>
        <v>-0.07489017416700071</v>
      </c>
      <c r="G60" s="215">
        <f>D60/C60</f>
        <v>0.1911712747343775</v>
      </c>
      <c r="H60" s="123"/>
    </row>
    <row r="61" spans="1:8" ht="15.75">
      <c r="A61" s="130"/>
      <c r="B61" s="131">
        <f>DATE(2017,11,1)</f>
        <v>43040</v>
      </c>
      <c r="C61" s="204">
        <v>1532678.5</v>
      </c>
      <c r="D61" s="204">
        <v>333725</v>
      </c>
      <c r="E61" s="204">
        <v>388040.5</v>
      </c>
      <c r="F61" s="132">
        <f>(+D61-E61)/E61</f>
        <v>-0.13997379139548577</v>
      </c>
      <c r="G61" s="215">
        <f>D61/C61</f>
        <v>0.217739728194791</v>
      </c>
      <c r="H61" s="123"/>
    </row>
    <row r="62" spans="1:8" ht="15.75" customHeight="1" thickBot="1">
      <c r="A62" s="130"/>
      <c r="B62" s="131"/>
      <c r="C62" s="204"/>
      <c r="D62" s="204"/>
      <c r="E62" s="204"/>
      <c r="F62" s="132"/>
      <c r="G62" s="215"/>
      <c r="H62" s="123"/>
    </row>
    <row r="63" spans="1:8" ht="17.25" thickBot="1" thickTop="1">
      <c r="A63" s="141" t="s">
        <v>14</v>
      </c>
      <c r="B63" s="142"/>
      <c r="C63" s="207">
        <f>SUM(C57:C62)</f>
        <v>8420540.5</v>
      </c>
      <c r="D63" s="261">
        <f>SUM(D57:D62)</f>
        <v>1700277</v>
      </c>
      <c r="E63" s="207">
        <f>SUM(E57:E62)</f>
        <v>1851421.5</v>
      </c>
      <c r="F63" s="269">
        <f>(+D63-E63)/E63</f>
        <v>-0.08163700162280713</v>
      </c>
      <c r="G63" s="267">
        <f>D63/C63</f>
        <v>0.20192017365156073</v>
      </c>
      <c r="H63" s="123"/>
    </row>
    <row r="64" spans="1:8" ht="15.75" customHeight="1" thickTop="1">
      <c r="A64" s="130"/>
      <c r="B64" s="139"/>
      <c r="C64" s="205"/>
      <c r="D64" s="205"/>
      <c r="E64" s="205"/>
      <c r="F64" s="140"/>
      <c r="G64" s="216"/>
      <c r="H64" s="123"/>
    </row>
    <row r="65" spans="1:8" ht="15.75">
      <c r="A65" s="130" t="s">
        <v>55</v>
      </c>
      <c r="B65" s="131">
        <f>DATE(2017,7,1)</f>
        <v>42917</v>
      </c>
      <c r="C65" s="204">
        <v>11293642</v>
      </c>
      <c r="D65" s="204">
        <v>2413267.38</v>
      </c>
      <c r="E65" s="204">
        <v>2520439.82</v>
      </c>
      <c r="F65" s="132">
        <f>(+D65-E65)/E65</f>
        <v>-0.04252132471070067</v>
      </c>
      <c r="G65" s="215">
        <f>D65/C65</f>
        <v>0.21368371513812814</v>
      </c>
      <c r="H65" s="123"/>
    </row>
    <row r="66" spans="1:8" ht="15.75">
      <c r="A66" s="130"/>
      <c r="B66" s="131">
        <f>DATE(2017,8,1)</f>
        <v>42948</v>
      </c>
      <c r="C66" s="204">
        <v>10516670</v>
      </c>
      <c r="D66" s="204">
        <v>2335423.3</v>
      </c>
      <c r="E66" s="204">
        <v>3004073.54</v>
      </c>
      <c r="F66" s="132">
        <f>(+D66-E66)/E66</f>
        <v>-0.22258118221699733</v>
      </c>
      <c r="G66" s="215">
        <f>D66/C66</f>
        <v>0.22206870615888868</v>
      </c>
      <c r="H66" s="123"/>
    </row>
    <row r="67" spans="1:8" ht="15.75">
      <c r="A67" s="130"/>
      <c r="B67" s="131">
        <f>DATE(2017,9,1)</f>
        <v>42979</v>
      </c>
      <c r="C67" s="204">
        <v>10643966</v>
      </c>
      <c r="D67" s="204">
        <v>2183188.72</v>
      </c>
      <c r="E67" s="204">
        <v>2555946.89</v>
      </c>
      <c r="F67" s="132">
        <f>(+D67-E67)/E67</f>
        <v>-0.1458395600700451</v>
      </c>
      <c r="G67" s="215">
        <f>D67/C67</f>
        <v>0.20511045600859681</v>
      </c>
      <c r="H67" s="123"/>
    </row>
    <row r="68" spans="1:8" ht="15.75">
      <c r="A68" s="130"/>
      <c r="B68" s="131">
        <f>DATE(2017,10,1)</f>
        <v>43009</v>
      </c>
      <c r="C68" s="204">
        <v>10167841</v>
      </c>
      <c r="D68" s="204">
        <v>1755251.41</v>
      </c>
      <c r="E68" s="204">
        <v>2421832.85</v>
      </c>
      <c r="F68" s="132">
        <f>(+D68-E68)/E68</f>
        <v>-0.2752384170526055</v>
      </c>
      <c r="G68" s="215">
        <f>D68/C68</f>
        <v>0.17262773975320816</v>
      </c>
      <c r="H68" s="123"/>
    </row>
    <row r="69" spans="1:8" ht="15.75">
      <c r="A69" s="130"/>
      <c r="B69" s="131">
        <f>DATE(2017,11,1)</f>
        <v>43040</v>
      </c>
      <c r="C69" s="204">
        <v>10221944</v>
      </c>
      <c r="D69" s="204">
        <v>2279939</v>
      </c>
      <c r="E69" s="204">
        <v>2285644.93</v>
      </c>
      <c r="F69" s="132">
        <f>(+D69-E69)/E69</f>
        <v>-0.002496420124187954</v>
      </c>
      <c r="G69" s="215">
        <f>D69/C69</f>
        <v>0.22304358153400175</v>
      </c>
      <c r="H69" s="123"/>
    </row>
    <row r="70" spans="1:8" ht="15.75" customHeight="1" thickBot="1">
      <c r="A70" s="130"/>
      <c r="B70" s="131"/>
      <c r="C70" s="204"/>
      <c r="D70" s="204"/>
      <c r="E70" s="204"/>
      <c r="F70" s="132"/>
      <c r="G70" s="215"/>
      <c r="H70" s="123"/>
    </row>
    <row r="71" spans="1:8" ht="17.25" thickBot="1" thickTop="1">
      <c r="A71" s="141" t="s">
        <v>14</v>
      </c>
      <c r="B71" s="142"/>
      <c r="C71" s="206">
        <f>SUM(C65:C70)</f>
        <v>52844063</v>
      </c>
      <c r="D71" s="206">
        <f>SUM(D65:D70)</f>
        <v>10967069.81</v>
      </c>
      <c r="E71" s="206">
        <f>SUM(E65:E70)</f>
        <v>12787938.03</v>
      </c>
      <c r="F71" s="143">
        <f>(+D71-E71)/E71</f>
        <v>-0.1423895092178515</v>
      </c>
      <c r="G71" s="217">
        <f>D71/C71</f>
        <v>0.20753646081301508</v>
      </c>
      <c r="H71" s="123"/>
    </row>
    <row r="72" spans="1:8" ht="15.75" customHeight="1" thickTop="1">
      <c r="A72" s="138"/>
      <c r="B72" s="139"/>
      <c r="C72" s="205"/>
      <c r="D72" s="205"/>
      <c r="E72" s="205"/>
      <c r="F72" s="140"/>
      <c r="G72" s="216"/>
      <c r="H72" s="123"/>
    </row>
    <row r="73" spans="1:8" ht="15.75">
      <c r="A73" s="130" t="s">
        <v>18</v>
      </c>
      <c r="B73" s="131">
        <f>DATE(2017,7,1)</f>
        <v>42917</v>
      </c>
      <c r="C73" s="204">
        <v>11171474.5</v>
      </c>
      <c r="D73" s="204">
        <v>2350317.5</v>
      </c>
      <c r="E73" s="204">
        <v>2118226.5</v>
      </c>
      <c r="F73" s="132">
        <f>(+D73-E73)/E73</f>
        <v>0.1095685470840819</v>
      </c>
      <c r="G73" s="215">
        <f>D73/C73</f>
        <v>0.2103856120335771</v>
      </c>
      <c r="H73" s="123"/>
    </row>
    <row r="74" spans="1:8" ht="15.75">
      <c r="A74" s="130"/>
      <c r="B74" s="131">
        <f>DATE(2017,8,1)</f>
        <v>42948</v>
      </c>
      <c r="C74" s="204">
        <v>11368179</v>
      </c>
      <c r="D74" s="204">
        <v>1942234.5</v>
      </c>
      <c r="E74" s="204">
        <v>2333266.5</v>
      </c>
      <c r="F74" s="132">
        <f>(+D74-E74)/E74</f>
        <v>-0.167589943111942</v>
      </c>
      <c r="G74" s="215">
        <f>D74/C74</f>
        <v>0.17084833903477417</v>
      </c>
      <c r="H74" s="123"/>
    </row>
    <row r="75" spans="1:8" ht="15.75">
      <c r="A75" s="130"/>
      <c r="B75" s="131">
        <f>DATE(2017,9,1)</f>
        <v>42979</v>
      </c>
      <c r="C75" s="204">
        <v>10900273.26</v>
      </c>
      <c r="D75" s="204">
        <v>2645234.26</v>
      </c>
      <c r="E75" s="204">
        <v>2224408.5</v>
      </c>
      <c r="F75" s="132">
        <f>(+D75-E75)/E75</f>
        <v>0.18918546660831398</v>
      </c>
      <c r="G75" s="215">
        <f>D75/C75</f>
        <v>0.24267595838234976</v>
      </c>
      <c r="H75" s="123"/>
    </row>
    <row r="76" spans="1:8" ht="15.75">
      <c r="A76" s="130"/>
      <c r="B76" s="131">
        <f>DATE(2017,10,1)</f>
        <v>43009</v>
      </c>
      <c r="C76" s="204">
        <v>11732058</v>
      </c>
      <c r="D76" s="204">
        <v>2496353.5</v>
      </c>
      <c r="E76" s="204">
        <v>2409509.55</v>
      </c>
      <c r="F76" s="132">
        <f>(+D76-E76)/E76</f>
        <v>0.03604216883058222</v>
      </c>
      <c r="G76" s="215">
        <f>D76/C76</f>
        <v>0.2127805283608383</v>
      </c>
      <c r="H76" s="123"/>
    </row>
    <row r="77" spans="1:8" ht="15.75">
      <c r="A77" s="130"/>
      <c r="B77" s="131">
        <f>DATE(2017,11,1)</f>
        <v>43040</v>
      </c>
      <c r="C77" s="204">
        <v>10822955.5</v>
      </c>
      <c r="D77" s="204">
        <v>2041604</v>
      </c>
      <c r="E77" s="204">
        <v>2793601.5</v>
      </c>
      <c r="F77" s="132">
        <f>(+D77-E77)/E77</f>
        <v>-0.26918567304606617</v>
      </c>
      <c r="G77" s="215">
        <f>D77/C77</f>
        <v>0.18863645886745076</v>
      </c>
      <c r="H77" s="123"/>
    </row>
    <row r="78" spans="1:8" ht="15.75" customHeight="1" thickBot="1">
      <c r="A78" s="130"/>
      <c r="B78" s="131"/>
      <c r="C78" s="204"/>
      <c r="D78" s="204"/>
      <c r="E78" s="204"/>
      <c r="F78" s="132"/>
      <c r="G78" s="215"/>
      <c r="H78" s="123"/>
    </row>
    <row r="79" spans="1:8" ht="17.25" thickBot="1" thickTop="1">
      <c r="A79" s="141" t="s">
        <v>14</v>
      </c>
      <c r="B79" s="142"/>
      <c r="C79" s="206">
        <f>SUM(C73:C78)</f>
        <v>55994940.26</v>
      </c>
      <c r="D79" s="206">
        <f>SUM(D73:D78)</f>
        <v>11475743.76</v>
      </c>
      <c r="E79" s="206">
        <f>SUM(E73:E78)</f>
        <v>11879012.55</v>
      </c>
      <c r="F79" s="143">
        <f>(+D79-E79)/E79</f>
        <v>-0.0339480060571197</v>
      </c>
      <c r="G79" s="217">
        <f>D79/C79</f>
        <v>0.20494251278267192</v>
      </c>
      <c r="H79" s="123"/>
    </row>
    <row r="80" spans="1:8" ht="15.75" customHeight="1" thickTop="1">
      <c r="A80" s="138"/>
      <c r="B80" s="139"/>
      <c r="C80" s="205"/>
      <c r="D80" s="205"/>
      <c r="E80" s="205"/>
      <c r="F80" s="140"/>
      <c r="G80" s="216"/>
      <c r="H80" s="123"/>
    </row>
    <row r="81" spans="1:8" ht="15.75">
      <c r="A81" s="130" t="s">
        <v>58</v>
      </c>
      <c r="B81" s="131">
        <f>DATE(2017,7,1)</f>
        <v>42917</v>
      </c>
      <c r="C81" s="204">
        <v>12458554</v>
      </c>
      <c r="D81" s="204">
        <v>2354816.66</v>
      </c>
      <c r="E81" s="204">
        <v>1971007.14</v>
      </c>
      <c r="F81" s="132">
        <f>(+D81-E81)/E81</f>
        <v>0.19472761524344365</v>
      </c>
      <c r="G81" s="215">
        <f>D81/C81</f>
        <v>0.1890120362282814</v>
      </c>
      <c r="H81" s="123"/>
    </row>
    <row r="82" spans="1:8" ht="15.75">
      <c r="A82" s="130"/>
      <c r="B82" s="131">
        <f>DATE(2017,8,1)</f>
        <v>42948</v>
      </c>
      <c r="C82" s="204">
        <v>11608228</v>
      </c>
      <c r="D82" s="204">
        <v>1981472</v>
      </c>
      <c r="E82" s="204">
        <v>1451474</v>
      </c>
      <c r="F82" s="132">
        <f>(+D82-E82)/E82</f>
        <v>0.3651446736214359</v>
      </c>
      <c r="G82" s="215">
        <f>D82/C82</f>
        <v>0.17069547565743884</v>
      </c>
      <c r="H82" s="123"/>
    </row>
    <row r="83" spans="1:8" ht="15.75">
      <c r="A83" s="130"/>
      <c r="B83" s="131">
        <f>DATE(2017,9,1)</f>
        <v>42979</v>
      </c>
      <c r="C83" s="204">
        <v>11938179</v>
      </c>
      <c r="D83" s="204">
        <v>2416134</v>
      </c>
      <c r="E83" s="204">
        <v>2289039.96</v>
      </c>
      <c r="F83" s="132">
        <f>(+D83-E83)/E83</f>
        <v>0.05552285771367663</v>
      </c>
      <c r="G83" s="215">
        <f>D83/C83</f>
        <v>0.2023871479896557</v>
      </c>
      <c r="H83" s="123"/>
    </row>
    <row r="84" spans="1:8" ht="15.75">
      <c r="A84" s="130"/>
      <c r="B84" s="131">
        <f>DATE(2017,10,1)</f>
        <v>43009</v>
      </c>
      <c r="C84" s="204">
        <v>11622187</v>
      </c>
      <c r="D84" s="204">
        <v>2131259.19</v>
      </c>
      <c r="E84" s="204">
        <v>2354728.74</v>
      </c>
      <c r="F84" s="132">
        <f>(+D84-E84)/E84</f>
        <v>-0.09490245997507138</v>
      </c>
      <c r="G84" s="215">
        <f>D84/C84</f>
        <v>0.18337849752374488</v>
      </c>
      <c r="H84" s="123"/>
    </row>
    <row r="85" spans="1:8" ht="15.75">
      <c r="A85" s="130"/>
      <c r="B85" s="131">
        <f>DATE(2017,11,1)</f>
        <v>43040</v>
      </c>
      <c r="C85" s="204">
        <v>12029157</v>
      </c>
      <c r="D85" s="204">
        <v>2312922.92</v>
      </c>
      <c r="E85" s="204">
        <v>1761255.13</v>
      </c>
      <c r="F85" s="132">
        <f>(+D85-E85)/E85</f>
        <v>0.3132242345832089</v>
      </c>
      <c r="G85" s="215">
        <f>D85/C85</f>
        <v>0.19227639310053066</v>
      </c>
      <c r="H85" s="123"/>
    </row>
    <row r="86" spans="1:8" ht="15.75" thickBot="1">
      <c r="A86" s="133"/>
      <c r="B86" s="131"/>
      <c r="C86" s="204"/>
      <c r="D86" s="204"/>
      <c r="E86" s="204"/>
      <c r="F86" s="132"/>
      <c r="G86" s="215"/>
      <c r="H86" s="123"/>
    </row>
    <row r="87" spans="1:8" ht="17.25" thickBot="1" thickTop="1">
      <c r="A87" s="141" t="s">
        <v>14</v>
      </c>
      <c r="B87" s="142"/>
      <c r="C87" s="207">
        <f>SUM(C81:C86)</f>
        <v>59656305</v>
      </c>
      <c r="D87" s="207">
        <f>SUM(D81:D86)</f>
        <v>11196604.77</v>
      </c>
      <c r="E87" s="207">
        <f>SUM(E81:E86)</f>
        <v>9827504.969999999</v>
      </c>
      <c r="F87" s="143">
        <f>(+D87-E87)/E87</f>
        <v>0.13931306106477612</v>
      </c>
      <c r="G87" s="267">
        <f>D87/C87</f>
        <v>0.18768518717342617</v>
      </c>
      <c r="H87" s="123"/>
    </row>
    <row r="88" spans="1:8" ht="15.75" customHeight="1" thickTop="1">
      <c r="A88" s="138"/>
      <c r="B88" s="139"/>
      <c r="C88" s="205"/>
      <c r="D88" s="205"/>
      <c r="E88" s="205"/>
      <c r="F88" s="140"/>
      <c r="G88" s="219"/>
      <c r="H88" s="123"/>
    </row>
    <row r="89" spans="1:8" ht="15.75">
      <c r="A89" s="130" t="s">
        <v>59</v>
      </c>
      <c r="B89" s="131">
        <f>DATE(2017,7,1)</f>
        <v>42917</v>
      </c>
      <c r="C89" s="204">
        <v>808349</v>
      </c>
      <c r="D89" s="204">
        <v>185261.5</v>
      </c>
      <c r="E89" s="204">
        <v>206069.5</v>
      </c>
      <c r="F89" s="132">
        <f>(+D89-E89)/E89</f>
        <v>-0.10097564171311135</v>
      </c>
      <c r="G89" s="215">
        <f>D89/C89</f>
        <v>0.22918504259917435</v>
      </c>
      <c r="H89" s="123"/>
    </row>
    <row r="90" spans="1:8" ht="15.75">
      <c r="A90" s="130"/>
      <c r="B90" s="131">
        <f>DATE(2017,8,1)</f>
        <v>42948</v>
      </c>
      <c r="C90" s="204">
        <v>727832</v>
      </c>
      <c r="D90" s="204">
        <v>131840.5</v>
      </c>
      <c r="E90" s="204">
        <v>195328</v>
      </c>
      <c r="F90" s="132">
        <f>(+D90-E90)/E90</f>
        <v>-0.32503020560288337</v>
      </c>
      <c r="G90" s="215">
        <f>D90/C90</f>
        <v>0.1811413897712659</v>
      </c>
      <c r="H90" s="123"/>
    </row>
    <row r="91" spans="1:8" ht="15.75">
      <c r="A91" s="130"/>
      <c r="B91" s="131">
        <f>DATE(2017,9,1)</f>
        <v>42979</v>
      </c>
      <c r="C91" s="204">
        <v>793144</v>
      </c>
      <c r="D91" s="204">
        <v>130165.5</v>
      </c>
      <c r="E91" s="204">
        <v>178936.5</v>
      </c>
      <c r="F91" s="132">
        <f>(+D91-E91)/E91</f>
        <v>-0.27256037756410795</v>
      </c>
      <c r="G91" s="215">
        <f>D91/C91</f>
        <v>0.16411332620558183</v>
      </c>
      <c r="H91" s="123"/>
    </row>
    <row r="92" spans="1:8" ht="15.75">
      <c r="A92" s="130"/>
      <c r="B92" s="131">
        <f>DATE(2017,10,1)</f>
        <v>43009</v>
      </c>
      <c r="C92" s="204">
        <v>734138</v>
      </c>
      <c r="D92" s="204">
        <v>213032.5</v>
      </c>
      <c r="E92" s="204">
        <v>164860</v>
      </c>
      <c r="F92" s="132">
        <f>(+D92-E92)/E92</f>
        <v>0.292202474827126</v>
      </c>
      <c r="G92" s="215">
        <f>D92/C92</f>
        <v>0.2901804565354198</v>
      </c>
      <c r="H92" s="123"/>
    </row>
    <row r="93" spans="1:8" ht="15.75">
      <c r="A93" s="130"/>
      <c r="B93" s="131">
        <f>DATE(2017,11,1)</f>
        <v>43040</v>
      </c>
      <c r="C93" s="204">
        <v>620250</v>
      </c>
      <c r="D93" s="204">
        <v>120661.5</v>
      </c>
      <c r="E93" s="204">
        <v>89576</v>
      </c>
      <c r="F93" s="132">
        <f>(+D93-E93)/E93</f>
        <v>0.34702933821559345</v>
      </c>
      <c r="G93" s="215">
        <f>D93/C93</f>
        <v>0.19453688029020555</v>
      </c>
      <c r="H93" s="123"/>
    </row>
    <row r="94" spans="1:8" ht="15.75" thickBot="1">
      <c r="A94" s="133"/>
      <c r="B94" s="134"/>
      <c r="C94" s="204"/>
      <c r="D94" s="204"/>
      <c r="E94" s="204"/>
      <c r="F94" s="132"/>
      <c r="G94" s="215"/>
      <c r="H94" s="123"/>
    </row>
    <row r="95" spans="1:8" ht="17.25" thickBot="1" thickTop="1">
      <c r="A95" s="144" t="s">
        <v>14</v>
      </c>
      <c r="B95" s="145"/>
      <c r="C95" s="207">
        <f>SUM(C89:C94)</f>
        <v>3683713</v>
      </c>
      <c r="D95" s="207">
        <f>SUM(D89:D94)</f>
        <v>780961.5</v>
      </c>
      <c r="E95" s="207">
        <f>SUM(E89:E94)</f>
        <v>834770</v>
      </c>
      <c r="F95" s="143">
        <f>(+D95-E95)/E95</f>
        <v>-0.06445907255890844</v>
      </c>
      <c r="G95" s="217">
        <f>D95/C95</f>
        <v>0.2120038938972716</v>
      </c>
      <c r="H95" s="123"/>
    </row>
    <row r="96" spans="1:8" ht="15.75" customHeight="1" thickTop="1">
      <c r="A96" s="130"/>
      <c r="B96" s="134"/>
      <c r="C96" s="204"/>
      <c r="D96" s="204"/>
      <c r="E96" s="204"/>
      <c r="F96" s="132"/>
      <c r="G96" s="218"/>
      <c r="H96" s="123"/>
    </row>
    <row r="97" spans="1:8" ht="15.75">
      <c r="A97" s="130" t="s">
        <v>40</v>
      </c>
      <c r="B97" s="131">
        <f>DATE(2017,7,1)</f>
        <v>42917</v>
      </c>
      <c r="C97" s="204">
        <v>15476448</v>
      </c>
      <c r="D97" s="204">
        <v>3485005.33</v>
      </c>
      <c r="E97" s="204">
        <v>3555002.5</v>
      </c>
      <c r="F97" s="132">
        <f>(+D97-E97)/E97</f>
        <v>-0.019689766744186515</v>
      </c>
      <c r="G97" s="215">
        <f>D97/C97</f>
        <v>0.22518121276923492</v>
      </c>
      <c r="H97" s="123"/>
    </row>
    <row r="98" spans="1:8" ht="15.75">
      <c r="A98" s="130"/>
      <c r="B98" s="131">
        <f>DATE(2017,8,1)</f>
        <v>42948</v>
      </c>
      <c r="C98" s="204">
        <v>14484713</v>
      </c>
      <c r="D98" s="204">
        <v>2756152.9</v>
      </c>
      <c r="E98" s="204">
        <v>2648098.2</v>
      </c>
      <c r="F98" s="132">
        <f>(+D98-E98)/E98</f>
        <v>0.04080464236560401</v>
      </c>
      <c r="G98" s="215">
        <f>D98/C98</f>
        <v>0.19028011808035133</v>
      </c>
      <c r="H98" s="123"/>
    </row>
    <row r="99" spans="1:8" ht="15.75">
      <c r="A99" s="130"/>
      <c r="B99" s="131">
        <f>DATE(2017,9,1)</f>
        <v>42979</v>
      </c>
      <c r="C99" s="204">
        <v>16041731</v>
      </c>
      <c r="D99" s="204">
        <v>3555670.84</v>
      </c>
      <c r="E99" s="204">
        <v>2901818.1</v>
      </c>
      <c r="F99" s="132">
        <f>(+D99-E99)/E99</f>
        <v>0.22532519870904374</v>
      </c>
      <c r="G99" s="215">
        <f>D99/C99</f>
        <v>0.22165131929964416</v>
      </c>
      <c r="H99" s="123"/>
    </row>
    <row r="100" spans="1:8" ht="15.75">
      <c r="A100" s="130"/>
      <c r="B100" s="131">
        <f>DATE(2017,10,1)</f>
        <v>43009</v>
      </c>
      <c r="C100" s="204">
        <v>15374937</v>
      </c>
      <c r="D100" s="204">
        <v>3109647.95</v>
      </c>
      <c r="E100" s="204">
        <v>2903466</v>
      </c>
      <c r="F100" s="132">
        <f>(+D100-E100)/E100</f>
        <v>0.07101235213362243</v>
      </c>
      <c r="G100" s="215">
        <f>D100/C100</f>
        <v>0.20225435395279995</v>
      </c>
      <c r="H100" s="123"/>
    </row>
    <row r="101" spans="1:8" ht="15.75">
      <c r="A101" s="130"/>
      <c r="B101" s="131">
        <f>DATE(2017,11,1)</f>
        <v>43040</v>
      </c>
      <c r="C101" s="204">
        <v>16405899</v>
      </c>
      <c r="D101" s="204">
        <v>3186042.02</v>
      </c>
      <c r="E101" s="204">
        <v>2588813.5</v>
      </c>
      <c r="F101" s="132">
        <f>(+D101-E101)/E101</f>
        <v>0.23069584579962985</v>
      </c>
      <c r="G101" s="215">
        <f>D101/C101</f>
        <v>0.19420100172505025</v>
      </c>
      <c r="H101" s="123"/>
    </row>
    <row r="102" spans="1:8" ht="15.75" thickBot="1">
      <c r="A102" s="133"/>
      <c r="B102" s="134"/>
      <c r="C102" s="204"/>
      <c r="D102" s="204"/>
      <c r="E102" s="204"/>
      <c r="F102" s="132"/>
      <c r="G102" s="215"/>
      <c r="H102" s="123"/>
    </row>
    <row r="103" spans="1:8" ht="17.25" thickBot="1" thickTop="1">
      <c r="A103" s="141" t="s">
        <v>14</v>
      </c>
      <c r="B103" s="142"/>
      <c r="C103" s="206">
        <f>SUM(C97:C102)</f>
        <v>77783728</v>
      </c>
      <c r="D103" s="207">
        <f>SUM(D97:D102)</f>
        <v>16092519.04</v>
      </c>
      <c r="E103" s="206">
        <f>SUM(E97:E102)</f>
        <v>14597198.3</v>
      </c>
      <c r="F103" s="143">
        <f>(+D103-E103)/E103</f>
        <v>0.10243888650878973</v>
      </c>
      <c r="G103" s="217">
        <f>D103/C103</f>
        <v>0.20688798870632685</v>
      </c>
      <c r="H103" s="123"/>
    </row>
    <row r="104" spans="1:8" ht="15.75" customHeight="1" thickTop="1">
      <c r="A104" s="130"/>
      <c r="B104" s="134"/>
      <c r="C104" s="204"/>
      <c r="D104" s="204"/>
      <c r="E104" s="204"/>
      <c r="F104" s="132"/>
      <c r="G104" s="218"/>
      <c r="H104" s="123"/>
    </row>
    <row r="105" spans="1:8" ht="15.75">
      <c r="A105" s="130" t="s">
        <v>64</v>
      </c>
      <c r="B105" s="131">
        <f>DATE(2017,7,1)</f>
        <v>42917</v>
      </c>
      <c r="C105" s="204">
        <v>829717</v>
      </c>
      <c r="D105" s="204">
        <v>283672</v>
      </c>
      <c r="E105" s="204">
        <v>188854</v>
      </c>
      <c r="F105" s="132">
        <f>(+D105-E105)/E105</f>
        <v>0.5020703824118102</v>
      </c>
      <c r="G105" s="215">
        <f>D105/C105</f>
        <v>0.341890066130982</v>
      </c>
      <c r="H105" s="123"/>
    </row>
    <row r="106" spans="1:8" ht="15.75">
      <c r="A106" s="130"/>
      <c r="B106" s="131">
        <f>DATE(2017,8,1)</f>
        <v>42948</v>
      </c>
      <c r="C106" s="204">
        <v>771356</v>
      </c>
      <c r="D106" s="204">
        <v>213515</v>
      </c>
      <c r="E106" s="204">
        <v>216171</v>
      </c>
      <c r="F106" s="132">
        <f>(+D106-E106)/E106</f>
        <v>-0.012286569428831804</v>
      </c>
      <c r="G106" s="215">
        <f>D106/C106</f>
        <v>0.27680474385368103</v>
      </c>
      <c r="H106" s="123"/>
    </row>
    <row r="107" spans="1:8" ht="15.75">
      <c r="A107" s="130"/>
      <c r="B107" s="131">
        <f>DATE(2017,9,1)</f>
        <v>42979</v>
      </c>
      <c r="C107" s="204">
        <v>789203</v>
      </c>
      <c r="D107" s="204">
        <v>213772.5</v>
      </c>
      <c r="E107" s="204">
        <v>216945.5</v>
      </c>
      <c r="F107" s="132">
        <f>(+D107-E107)/E107</f>
        <v>-0.014625793113938754</v>
      </c>
      <c r="G107" s="215">
        <f>D107/C107</f>
        <v>0.27087137276467527</v>
      </c>
      <c r="H107" s="123"/>
    </row>
    <row r="108" spans="1:8" ht="15.75">
      <c r="A108" s="130"/>
      <c r="B108" s="131">
        <f>DATE(2017,10,1)</f>
        <v>43009</v>
      </c>
      <c r="C108" s="204">
        <v>704934</v>
      </c>
      <c r="D108" s="204">
        <v>244828.5</v>
      </c>
      <c r="E108" s="204">
        <v>242110</v>
      </c>
      <c r="F108" s="132">
        <f>(+D108-E108)/E108</f>
        <v>0.01122836727107513</v>
      </c>
      <c r="G108" s="215">
        <f>D108/C108</f>
        <v>0.34730698193022325</v>
      </c>
      <c r="H108" s="123"/>
    </row>
    <row r="109" spans="1:8" ht="15.75">
      <c r="A109" s="130"/>
      <c r="B109" s="131">
        <f>DATE(2017,11,1)</f>
        <v>43040</v>
      </c>
      <c r="C109" s="204">
        <v>788141</v>
      </c>
      <c r="D109" s="204">
        <v>214514.5</v>
      </c>
      <c r="E109" s="204">
        <v>207292.5</v>
      </c>
      <c r="F109" s="132">
        <f>(+D109-E109)/E109</f>
        <v>0.03483965893604448</v>
      </c>
      <c r="G109" s="215">
        <f>D109/C109</f>
        <v>0.2721778209736583</v>
      </c>
      <c r="H109" s="123"/>
    </row>
    <row r="110" spans="1:8" ht="15.75" thickBot="1">
      <c r="A110" s="133"/>
      <c r="B110" s="134"/>
      <c r="C110" s="204"/>
      <c r="D110" s="204"/>
      <c r="E110" s="204"/>
      <c r="F110" s="132"/>
      <c r="G110" s="215"/>
      <c r="H110" s="123"/>
    </row>
    <row r="111" spans="1:8" ht="17.25" thickBot="1" thickTop="1">
      <c r="A111" s="135" t="s">
        <v>14</v>
      </c>
      <c r="B111" s="136"/>
      <c r="C111" s="201">
        <f>SUM(C105:C110)</f>
        <v>3883351</v>
      </c>
      <c r="D111" s="207">
        <f>SUM(D105:D110)</f>
        <v>1170302.5</v>
      </c>
      <c r="E111" s="207">
        <f>SUM(E105:E110)</f>
        <v>1071373</v>
      </c>
      <c r="F111" s="143">
        <f>(+D111-E111)/E111</f>
        <v>0.09233898931557917</v>
      </c>
      <c r="G111" s="217">
        <f>D111/C111</f>
        <v>0.3013640796312257</v>
      </c>
      <c r="H111" s="123"/>
    </row>
    <row r="112" spans="1:8" ht="16.5" thickBot="1" thickTop="1">
      <c r="A112" s="146"/>
      <c r="B112" s="139"/>
      <c r="C112" s="205"/>
      <c r="D112" s="205"/>
      <c r="E112" s="205"/>
      <c r="F112" s="140"/>
      <c r="G112" s="216"/>
      <c r="H112" s="123"/>
    </row>
    <row r="113" spans="1:8" ht="17.25" thickBot="1" thickTop="1">
      <c r="A113" s="147" t="s">
        <v>41</v>
      </c>
      <c r="B113" s="121"/>
      <c r="C113" s="201">
        <f>C111+C103+C79+C63+C47+C31+C15+C39+C95+C23+C71+C87+C55</f>
        <v>494366710.51</v>
      </c>
      <c r="D113" s="201">
        <f>D111+D103+D79+D63+D47+D31+D15+D39+D95+D23+D71+D87+D55</f>
        <v>103673196.97</v>
      </c>
      <c r="E113" s="201">
        <f>E111+E103+E79+E63+E47+E31+E15+E39+E95+E23+E71+E87+E55</f>
        <v>98045017.03</v>
      </c>
      <c r="F113" s="137">
        <f>(+D113-E113)/E113</f>
        <v>0.05740403857829793</v>
      </c>
      <c r="G113" s="212">
        <f>D113/C113</f>
        <v>0.20970909805607332</v>
      </c>
      <c r="H113" s="123"/>
    </row>
    <row r="114" spans="1:8" ht="17.25" thickBot="1" thickTop="1">
      <c r="A114" s="147"/>
      <c r="B114" s="121"/>
      <c r="C114" s="201"/>
      <c r="D114" s="201"/>
      <c r="E114" s="201"/>
      <c r="F114" s="137"/>
      <c r="G114" s="212"/>
      <c r="H114" s="123"/>
    </row>
    <row r="115" spans="1:8" ht="17.25" thickBot="1" thickTop="1">
      <c r="A115" s="265" t="s">
        <v>42</v>
      </c>
      <c r="B115" s="266"/>
      <c r="C115" s="206">
        <f>+C13+C21+C29+C37+C45+C53+C61+C69+C77+C85+C93+C101+C109</f>
        <v>98434324.5</v>
      </c>
      <c r="D115" s="206">
        <f>+D13+D21+D29+D37+D45+D53+D61+D69+D77+D85+D93+D101+D109</f>
        <v>20873818.48</v>
      </c>
      <c r="E115" s="206">
        <f>+E13+E21+E29+E37+E45+E53+E61+E69+E77+E85+E93+E101+E109</f>
        <v>19246148.439999998</v>
      </c>
      <c r="F115" s="143">
        <f>(+D115-E115)/E115</f>
        <v>0.08457120888754836</v>
      </c>
      <c r="G115" s="217">
        <f>D115/C115</f>
        <v>0.2120583301204043</v>
      </c>
      <c r="H115" s="123"/>
    </row>
    <row r="116" spans="1:8" ht="16.5" thickTop="1">
      <c r="A116" s="256"/>
      <c r="B116" s="258"/>
      <c r="C116" s="259"/>
      <c r="D116" s="259"/>
      <c r="E116" s="259"/>
      <c r="F116" s="260"/>
      <c r="G116" s="257"/>
      <c r="H116" s="257"/>
    </row>
    <row r="117" spans="1:7" ht="18.75">
      <c r="A117" s="263" t="s">
        <v>43</v>
      </c>
      <c r="B117" s="117"/>
      <c r="C117" s="208"/>
      <c r="D117" s="208"/>
      <c r="E117" s="208"/>
      <c r="F117" s="148"/>
      <c r="G117" s="220"/>
    </row>
    <row r="118" ht="15.75">
      <c r="A118" s="7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6" r:id="rId1"/>
  <rowBreaks count="2" manualBreakCount="2">
    <brk id="47" max="7" man="1"/>
    <brk id="8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20"/>
  <sheetViews>
    <sheetView showOutlineSymbols="0" zoomScalePageLayoutView="0" workbookViewId="0" topLeftCell="A1">
      <selection activeCell="A6" sqref="A6"/>
    </sheetView>
  </sheetViews>
  <sheetFormatPr defaultColWidth="9.6640625" defaultRowHeight="15"/>
  <cols>
    <col min="1" max="1" width="27.6640625" style="152" customWidth="1"/>
    <col min="2" max="2" width="9.6640625" style="152" customWidth="1"/>
    <col min="3" max="3" width="18.3359375" style="233" customWidth="1"/>
    <col min="4" max="4" width="16.44531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796875" style="152" customWidth="1"/>
    <col min="10" max="16384" width="9.6640625" style="152" customWidth="1"/>
  </cols>
  <sheetData>
    <row r="1" spans="1:9" ht="18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>
      <c r="A2" s="153" t="s">
        <v>44</v>
      </c>
      <c r="B2" s="150"/>
      <c r="C2" s="222"/>
      <c r="D2" s="222"/>
      <c r="E2" s="222"/>
      <c r="F2" s="150"/>
      <c r="G2" s="234"/>
      <c r="H2" s="234"/>
      <c r="I2" s="151"/>
    </row>
    <row r="3" spans="1:9" ht="18">
      <c r="A3" s="149" t="s">
        <v>45</v>
      </c>
      <c r="B3" s="150"/>
      <c r="C3" s="222"/>
      <c r="D3" s="222"/>
      <c r="E3" s="222"/>
      <c r="F3" s="150"/>
      <c r="G3" s="234"/>
      <c r="H3" s="234"/>
      <c r="I3" s="151"/>
    </row>
    <row r="4" spans="1:9" ht="18">
      <c r="A4" s="285" t="s">
        <v>74</v>
      </c>
      <c r="B4" s="150"/>
      <c r="C4" s="222"/>
      <c r="D4" s="222"/>
      <c r="E4" s="222"/>
      <c r="F4" s="150"/>
      <c r="G4" s="234"/>
      <c r="H4" s="234"/>
      <c r="I4" s="151"/>
    </row>
    <row r="5" spans="1:9" ht="15">
      <c r="A5" s="286" t="s">
        <v>70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>
      <c r="A6" s="150"/>
      <c r="B6" s="150"/>
      <c r="C6" s="222"/>
      <c r="D6" s="222"/>
      <c r="E6" s="222"/>
      <c r="F6" s="150"/>
      <c r="G6" s="235" t="s">
        <v>46</v>
      </c>
      <c r="H6" s="235"/>
      <c r="I6" s="151"/>
    </row>
    <row r="7" spans="1:9" ht="16.5" thickTop="1">
      <c r="A7" s="154"/>
      <c r="B7" s="155" t="s">
        <v>2</v>
      </c>
      <c r="C7" s="223" t="s">
        <v>47</v>
      </c>
      <c r="D7" s="223" t="s">
        <v>33</v>
      </c>
      <c r="E7" s="223" t="s">
        <v>3</v>
      </c>
      <c r="F7" s="156"/>
      <c r="G7" s="236" t="s">
        <v>34</v>
      </c>
      <c r="H7" s="253" t="s">
        <v>34</v>
      </c>
      <c r="I7" s="157"/>
    </row>
    <row r="8" spans="1:9" ht="16.5" thickBot="1">
      <c r="A8" s="158" t="s">
        <v>5</v>
      </c>
      <c r="B8" s="159" t="s">
        <v>6</v>
      </c>
      <c r="C8" s="224" t="s">
        <v>48</v>
      </c>
      <c r="D8" s="224" t="s">
        <v>49</v>
      </c>
      <c r="E8" s="224" t="s">
        <v>49</v>
      </c>
      <c r="F8" s="160" t="s">
        <v>8</v>
      </c>
      <c r="G8" s="238" t="s">
        <v>37</v>
      </c>
      <c r="H8" s="254" t="s">
        <v>50</v>
      </c>
      <c r="I8" s="157"/>
    </row>
    <row r="9" spans="1:9" ht="15.75" customHeight="1" thickTop="1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>
      <c r="A10" s="164" t="s">
        <v>38</v>
      </c>
      <c r="B10" s="165">
        <f>DATE(17,7,1)</f>
        <v>6392</v>
      </c>
      <c r="C10" s="226">
        <v>128003135.76</v>
      </c>
      <c r="D10" s="226">
        <v>12399693.56</v>
      </c>
      <c r="E10" s="226">
        <v>12760668.01</v>
      </c>
      <c r="F10" s="166">
        <f>(+D10-E10)/E10</f>
        <v>-0.02828805276629082</v>
      </c>
      <c r="G10" s="241">
        <f>D10/C10</f>
        <v>0.09687023279842813</v>
      </c>
      <c r="H10" s="242">
        <f>1-G10</f>
        <v>0.9031297672015719</v>
      </c>
      <c r="I10" s="157"/>
    </row>
    <row r="11" spans="1:9" ht="15.75">
      <c r="A11" s="164"/>
      <c r="B11" s="165">
        <f>DATE(17,8,1)</f>
        <v>6423</v>
      </c>
      <c r="C11" s="226">
        <v>116499333.11</v>
      </c>
      <c r="D11" s="226">
        <v>11441719.54</v>
      </c>
      <c r="E11" s="226">
        <v>11027150.02</v>
      </c>
      <c r="F11" s="166">
        <f>(+D11-E11)/E11</f>
        <v>0.03759534596410611</v>
      </c>
      <c r="G11" s="241">
        <f>D11/C11</f>
        <v>0.09821274709956147</v>
      </c>
      <c r="H11" s="242">
        <f>1-G11</f>
        <v>0.9017872529004385</v>
      </c>
      <c r="I11" s="157"/>
    </row>
    <row r="12" spans="1:9" ht="15.75">
      <c r="A12" s="164"/>
      <c r="B12" s="165">
        <f>DATE(17,9,1)</f>
        <v>6454</v>
      </c>
      <c r="C12" s="226">
        <v>121499196.15</v>
      </c>
      <c r="D12" s="226">
        <v>11813160.59</v>
      </c>
      <c r="E12" s="226">
        <v>11131300.2</v>
      </c>
      <c r="F12" s="166">
        <f>(+D12-E12)/E12</f>
        <v>0.06125613160626111</v>
      </c>
      <c r="G12" s="241">
        <f>D12/C12</f>
        <v>0.09722830244420509</v>
      </c>
      <c r="H12" s="242">
        <f>1-G12</f>
        <v>0.9027716975557949</v>
      </c>
      <c r="I12" s="157"/>
    </row>
    <row r="13" spans="1:9" ht="15.75">
      <c r="A13" s="164"/>
      <c r="B13" s="165">
        <f>DATE(17,10,1)</f>
        <v>6484</v>
      </c>
      <c r="C13" s="226">
        <v>115537297.52</v>
      </c>
      <c r="D13" s="226">
        <v>11558139.69</v>
      </c>
      <c r="E13" s="226">
        <v>11426198.17</v>
      </c>
      <c r="F13" s="166">
        <f>(+D13-E13)/E13</f>
        <v>0.011547280909797099</v>
      </c>
      <c r="G13" s="241">
        <f>D13/C13</f>
        <v>0.10003816895578016</v>
      </c>
      <c r="H13" s="242">
        <f>1-G13</f>
        <v>0.8999618310442199</v>
      </c>
      <c r="I13" s="157"/>
    </row>
    <row r="14" spans="1:9" ht="15.75">
      <c r="A14" s="164"/>
      <c r="B14" s="165">
        <f>DATE(17,11,1)</f>
        <v>6515</v>
      </c>
      <c r="C14" s="226">
        <v>117762640.69</v>
      </c>
      <c r="D14" s="226">
        <v>11896579.67</v>
      </c>
      <c r="E14" s="226">
        <v>10749508.49</v>
      </c>
      <c r="F14" s="166">
        <f>(+D14-E14)/E14</f>
        <v>0.106709174755952</v>
      </c>
      <c r="G14" s="241">
        <f>D14/C14</f>
        <v>0.1010216788643244</v>
      </c>
      <c r="H14" s="242">
        <f>1-G14</f>
        <v>0.8989783211356757</v>
      </c>
      <c r="I14" s="157"/>
    </row>
    <row r="15" spans="1:9" ht="15.75" thickBot="1">
      <c r="A15" s="167"/>
      <c r="B15" s="168"/>
      <c r="C15" s="226"/>
      <c r="D15" s="226"/>
      <c r="E15" s="226"/>
      <c r="F15" s="166"/>
      <c r="G15" s="241"/>
      <c r="H15" s="242"/>
      <c r="I15" s="157"/>
    </row>
    <row r="16" spans="1:9" ht="17.25" thickBot="1" thickTop="1">
      <c r="A16" s="169" t="s">
        <v>14</v>
      </c>
      <c r="B16" s="155"/>
      <c r="C16" s="223">
        <f>SUM(C10:C15)</f>
        <v>599301603.23</v>
      </c>
      <c r="D16" s="223">
        <f>SUM(D10:D15)</f>
        <v>59109293.05</v>
      </c>
      <c r="E16" s="223">
        <f>SUM(E10:E15)</f>
        <v>57094824.89000001</v>
      </c>
      <c r="F16" s="170">
        <f>(+D16-E16)/E16</f>
        <v>0.03528285030878196</v>
      </c>
      <c r="G16" s="236">
        <f>D16/C16</f>
        <v>0.09863029354739608</v>
      </c>
      <c r="H16" s="237">
        <f>1-G16</f>
        <v>0.901369706452604</v>
      </c>
      <c r="I16" s="157"/>
    </row>
    <row r="17" spans="1:9" ht="15.75" thickTop="1">
      <c r="A17" s="171"/>
      <c r="B17" s="172"/>
      <c r="C17" s="227"/>
      <c r="D17" s="227"/>
      <c r="E17" s="227"/>
      <c r="F17" s="173"/>
      <c r="G17" s="243"/>
      <c r="H17" s="244"/>
      <c r="I17" s="157"/>
    </row>
    <row r="18" spans="1:9" ht="15.75">
      <c r="A18" s="19" t="s">
        <v>51</v>
      </c>
      <c r="B18" s="165">
        <f>DATE(17,7,1)</f>
        <v>6392</v>
      </c>
      <c r="C18" s="226">
        <v>70369862.87</v>
      </c>
      <c r="D18" s="226">
        <v>6821642.2</v>
      </c>
      <c r="E18" s="226">
        <v>7099133.54</v>
      </c>
      <c r="F18" s="166">
        <f>(+D18-E18)/E18</f>
        <v>-0.03908805749835209</v>
      </c>
      <c r="G18" s="241">
        <f>D18/C18</f>
        <v>0.09693982511522264</v>
      </c>
      <c r="H18" s="242">
        <f>1-G18</f>
        <v>0.9030601748847773</v>
      </c>
      <c r="I18" s="157"/>
    </row>
    <row r="19" spans="1:9" ht="15.75">
      <c r="A19" s="19"/>
      <c r="B19" s="165">
        <f>DATE(17,8,1)</f>
        <v>6423</v>
      </c>
      <c r="C19" s="226">
        <v>64182696.16</v>
      </c>
      <c r="D19" s="226">
        <v>6396602.31</v>
      </c>
      <c r="E19" s="226">
        <v>6284127.36</v>
      </c>
      <c r="F19" s="166">
        <f>(+D19-E19)/E19</f>
        <v>0.017898260737987216</v>
      </c>
      <c r="G19" s="241">
        <f>D19/C19</f>
        <v>0.09966241203164812</v>
      </c>
      <c r="H19" s="242">
        <f>1-G19</f>
        <v>0.9003375879683518</v>
      </c>
      <c r="I19" s="157"/>
    </row>
    <row r="20" spans="1:9" ht="15.75">
      <c r="A20" s="19"/>
      <c r="B20" s="165">
        <f>DATE(17,9,1)</f>
        <v>6454</v>
      </c>
      <c r="C20" s="226">
        <v>64033578.3</v>
      </c>
      <c r="D20" s="226">
        <v>6148408.09</v>
      </c>
      <c r="E20" s="226">
        <v>6426114.46</v>
      </c>
      <c r="F20" s="166">
        <f>(+D20-E20)/E20</f>
        <v>-0.04321528533744793</v>
      </c>
      <c r="G20" s="241">
        <f>D20/C20</f>
        <v>0.09601849925041593</v>
      </c>
      <c r="H20" s="242">
        <f>1-G20</f>
        <v>0.903981500749584</v>
      </c>
      <c r="I20" s="157"/>
    </row>
    <row r="21" spans="1:9" ht="15.75">
      <c r="A21" s="19"/>
      <c r="B21" s="165">
        <f>DATE(17,10,1)</f>
        <v>6484</v>
      </c>
      <c r="C21" s="226">
        <v>61277642.92</v>
      </c>
      <c r="D21" s="226">
        <v>5734526.36</v>
      </c>
      <c r="E21" s="226">
        <v>6207514.07</v>
      </c>
      <c r="F21" s="166">
        <f>(+D21-E21)/E21</f>
        <v>-0.076195994832437</v>
      </c>
      <c r="G21" s="241">
        <f>D21/C21</f>
        <v>0.09358268508282237</v>
      </c>
      <c r="H21" s="242">
        <f>1-G21</f>
        <v>0.9064173149171776</v>
      </c>
      <c r="I21" s="157"/>
    </row>
    <row r="22" spans="1:9" ht="15.75">
      <c r="A22" s="19"/>
      <c r="B22" s="165">
        <f>DATE(17,11,1)</f>
        <v>6515</v>
      </c>
      <c r="C22" s="226">
        <v>59095734.31</v>
      </c>
      <c r="D22" s="226">
        <v>5818106.47</v>
      </c>
      <c r="E22" s="226">
        <v>5938873.2</v>
      </c>
      <c r="F22" s="166">
        <f>(+D22-E22)/E22</f>
        <v>-0.02033495680628447</v>
      </c>
      <c r="G22" s="241">
        <f>D22/C22</f>
        <v>0.09845222397068137</v>
      </c>
      <c r="H22" s="242">
        <f>1-G22</f>
        <v>0.9015477760293187</v>
      </c>
      <c r="I22" s="157"/>
    </row>
    <row r="23" spans="1:9" ht="15.75" thickBot="1">
      <c r="A23" s="167"/>
      <c r="B23" s="165"/>
      <c r="C23" s="226"/>
      <c r="D23" s="226"/>
      <c r="E23" s="226"/>
      <c r="F23" s="166"/>
      <c r="G23" s="241"/>
      <c r="H23" s="242"/>
      <c r="I23" s="157"/>
    </row>
    <row r="24" spans="1:9" ht="17.25" thickBot="1" thickTop="1">
      <c r="A24" s="169" t="s">
        <v>14</v>
      </c>
      <c r="B24" s="155"/>
      <c r="C24" s="223">
        <f>SUM(C18:C23)</f>
        <v>318959514.56</v>
      </c>
      <c r="D24" s="223">
        <f>SUM(D18:D23)</f>
        <v>30919285.43</v>
      </c>
      <c r="E24" s="223">
        <f>SUM(E18:E23)</f>
        <v>31955762.63</v>
      </c>
      <c r="F24" s="170">
        <f>(+D24-E24)/E24</f>
        <v>-0.03243475087735684</v>
      </c>
      <c r="G24" s="236">
        <f>D24/C24</f>
        <v>0.09693796240144366</v>
      </c>
      <c r="H24" s="237">
        <f>1-G24</f>
        <v>0.9030620375985563</v>
      </c>
      <c r="I24" s="157"/>
    </row>
    <row r="25" spans="1:9" ht="15.75" thickTop="1">
      <c r="A25" s="171"/>
      <c r="B25" s="172"/>
      <c r="C25" s="227"/>
      <c r="D25" s="227"/>
      <c r="E25" s="227"/>
      <c r="F25" s="173"/>
      <c r="G25" s="243"/>
      <c r="H25" s="244"/>
      <c r="I25" s="157"/>
    </row>
    <row r="26" spans="1:9" ht="15.75">
      <c r="A26" s="19" t="s">
        <v>60</v>
      </c>
      <c r="B26" s="165">
        <f>DATE(17,7,1)</f>
        <v>6392</v>
      </c>
      <c r="C26" s="226">
        <v>27686533.48</v>
      </c>
      <c r="D26" s="226">
        <v>2951015.74</v>
      </c>
      <c r="E26" s="226">
        <v>3021071.12</v>
      </c>
      <c r="F26" s="166">
        <f>(+D26-E26)/E26</f>
        <v>-0.0231889211532365</v>
      </c>
      <c r="G26" s="241">
        <f>D26/C26</f>
        <v>0.10658668201028973</v>
      </c>
      <c r="H26" s="242">
        <f>1-G26</f>
        <v>0.8934133179897102</v>
      </c>
      <c r="I26" s="157"/>
    </row>
    <row r="27" spans="1:9" ht="15.75">
      <c r="A27" s="19"/>
      <c r="B27" s="165">
        <f>DATE(17,8,1)</f>
        <v>6423</v>
      </c>
      <c r="C27" s="226">
        <v>24319135.61</v>
      </c>
      <c r="D27" s="226">
        <v>2587760.59</v>
      </c>
      <c r="E27" s="226">
        <v>2616739.9</v>
      </c>
      <c r="F27" s="166">
        <f>(+D27-E27)/E27</f>
        <v>-0.011074585594082184</v>
      </c>
      <c r="G27" s="241">
        <f>D27/C27</f>
        <v>0.1064084115282418</v>
      </c>
      <c r="H27" s="242">
        <f>1-G27</f>
        <v>0.8935915884717582</v>
      </c>
      <c r="I27" s="157"/>
    </row>
    <row r="28" spans="1:9" ht="15.75">
      <c r="A28" s="19"/>
      <c r="B28" s="165">
        <f>DATE(17,9,1)</f>
        <v>6454</v>
      </c>
      <c r="C28" s="226">
        <v>25776531.98</v>
      </c>
      <c r="D28" s="226">
        <v>2789987.56</v>
      </c>
      <c r="E28" s="226">
        <v>2834248.99</v>
      </c>
      <c r="F28" s="166">
        <f>(+D28-E28)/E28</f>
        <v>-0.015616634302831722</v>
      </c>
      <c r="G28" s="241">
        <f>D28/C28</f>
        <v>0.10823750697590934</v>
      </c>
      <c r="H28" s="242">
        <f>1-G28</f>
        <v>0.8917624930240906</v>
      </c>
      <c r="I28" s="157"/>
    </row>
    <row r="29" spans="1:9" ht="15.75">
      <c r="A29" s="19"/>
      <c r="B29" s="165">
        <f>DATE(17,10,1)</f>
        <v>6484</v>
      </c>
      <c r="C29" s="226">
        <v>23361674.53</v>
      </c>
      <c r="D29" s="226">
        <v>2567931.31</v>
      </c>
      <c r="E29" s="226">
        <v>2635379.35</v>
      </c>
      <c r="F29" s="166">
        <f>(+D29-E29)/E29</f>
        <v>-0.025593294566871382</v>
      </c>
      <c r="G29" s="241">
        <f>D29/C29</f>
        <v>0.10992068683699789</v>
      </c>
      <c r="H29" s="242">
        <f>1-G29</f>
        <v>0.8900793131630022</v>
      </c>
      <c r="I29" s="157"/>
    </row>
    <row r="30" spans="1:9" ht="15.75">
      <c r="A30" s="19"/>
      <c r="B30" s="165">
        <f>DATE(17,11,1)</f>
        <v>6515</v>
      </c>
      <c r="C30" s="226">
        <v>23308642.88</v>
      </c>
      <c r="D30" s="226">
        <v>2542392.68</v>
      </c>
      <c r="E30" s="226">
        <v>2593526.94</v>
      </c>
      <c r="F30" s="166">
        <f>(+D30-E30)/E30</f>
        <v>-0.01971610906035153</v>
      </c>
      <c r="G30" s="241">
        <f>D30/C30</f>
        <v>0.10907510544861032</v>
      </c>
      <c r="H30" s="242">
        <f>1-G30</f>
        <v>0.8909248945513897</v>
      </c>
      <c r="I30" s="157"/>
    </row>
    <row r="31" spans="1:9" ht="15.75" thickBot="1">
      <c r="A31" s="167"/>
      <c r="B31" s="165"/>
      <c r="C31" s="226"/>
      <c r="D31" s="226"/>
      <c r="E31" s="226"/>
      <c r="F31" s="166"/>
      <c r="G31" s="241"/>
      <c r="H31" s="242"/>
      <c r="I31" s="157"/>
    </row>
    <row r="32" spans="1:9" ht="17.25" thickBot="1" thickTop="1">
      <c r="A32" s="174" t="s">
        <v>14</v>
      </c>
      <c r="B32" s="175"/>
      <c r="C32" s="228">
        <f>SUM(C26:C31)</f>
        <v>124452518.48</v>
      </c>
      <c r="D32" s="228">
        <f>SUM(D26:D31)</f>
        <v>13439087.88</v>
      </c>
      <c r="E32" s="228">
        <f>SUM(E26:E31)</f>
        <v>13700966.299999999</v>
      </c>
      <c r="F32" s="176">
        <f>(+D32-E32)/E32</f>
        <v>-0.019113864983376982</v>
      </c>
      <c r="G32" s="245">
        <f>D32/C32</f>
        <v>0.10798566428496756</v>
      </c>
      <c r="H32" s="246">
        <f>1-G32</f>
        <v>0.8920143357150324</v>
      </c>
      <c r="I32" s="157"/>
    </row>
    <row r="33" spans="1:9" ht="15.75" thickTop="1">
      <c r="A33" s="167"/>
      <c r="B33" s="168"/>
      <c r="C33" s="226"/>
      <c r="D33" s="226"/>
      <c r="E33" s="226"/>
      <c r="F33" s="166"/>
      <c r="G33" s="241"/>
      <c r="H33" s="242"/>
      <c r="I33" s="157"/>
    </row>
    <row r="34" spans="1:9" ht="15.75">
      <c r="A34" s="177" t="s">
        <v>65</v>
      </c>
      <c r="B34" s="165">
        <f>DATE(17,7,1)</f>
        <v>6392</v>
      </c>
      <c r="C34" s="226">
        <v>199002675.73</v>
      </c>
      <c r="D34" s="226">
        <v>17796071.33</v>
      </c>
      <c r="E34" s="226">
        <v>18141371.29</v>
      </c>
      <c r="F34" s="166">
        <f>(+D34-E34)/E34</f>
        <v>-0.019033840081887268</v>
      </c>
      <c r="G34" s="241">
        <f>D34/C34</f>
        <v>0.08942629170546983</v>
      </c>
      <c r="H34" s="242">
        <f>1-G34</f>
        <v>0.9105737082945302</v>
      </c>
      <c r="I34" s="157"/>
    </row>
    <row r="35" spans="1:9" ht="15.75">
      <c r="A35" s="177"/>
      <c r="B35" s="165">
        <f>DATE(17,8,1)</f>
        <v>6423</v>
      </c>
      <c r="C35" s="226">
        <v>185850095.92</v>
      </c>
      <c r="D35" s="226">
        <v>17013833.45</v>
      </c>
      <c r="E35" s="226">
        <v>17116248.3</v>
      </c>
      <c r="F35" s="166">
        <f>(+D35-E35)/E35</f>
        <v>-0.005983487047217087</v>
      </c>
      <c r="G35" s="241">
        <f>D35/C35</f>
        <v>0.0915460030611105</v>
      </c>
      <c r="H35" s="242">
        <f>1-G35</f>
        <v>0.9084539969388895</v>
      </c>
      <c r="I35" s="157"/>
    </row>
    <row r="36" spans="1:9" ht="15.75">
      <c r="A36" s="177"/>
      <c r="B36" s="165">
        <f>DATE(17,9,1)</f>
        <v>6454</v>
      </c>
      <c r="C36" s="226">
        <v>179235333.71</v>
      </c>
      <c r="D36" s="226">
        <v>16916276.07</v>
      </c>
      <c r="E36" s="226">
        <v>17027821.25</v>
      </c>
      <c r="F36" s="166">
        <f>(+D36-E36)/E36</f>
        <v>-0.006550760567797228</v>
      </c>
      <c r="G36" s="241">
        <f>D36/C36</f>
        <v>0.09438025259779566</v>
      </c>
      <c r="H36" s="242">
        <f>1-G36</f>
        <v>0.9056197474022043</v>
      </c>
      <c r="I36" s="157"/>
    </row>
    <row r="37" spans="1:9" ht="15.75">
      <c r="A37" s="177"/>
      <c r="B37" s="165">
        <f>DATE(17,10,1)</f>
        <v>6484</v>
      </c>
      <c r="C37" s="226">
        <v>168909872.18</v>
      </c>
      <c r="D37" s="226">
        <v>15553875.56</v>
      </c>
      <c r="E37" s="226">
        <v>16676556.04</v>
      </c>
      <c r="F37" s="166">
        <f>(+D37-E37)/E37</f>
        <v>-0.06732088311922217</v>
      </c>
      <c r="G37" s="241">
        <f>D37/C37</f>
        <v>0.09208387502315378</v>
      </c>
      <c r="H37" s="242">
        <f>1-G37</f>
        <v>0.9079161249768463</v>
      </c>
      <c r="I37" s="157"/>
    </row>
    <row r="38" spans="1:9" ht="15.75">
      <c r="A38" s="177"/>
      <c r="B38" s="165">
        <f>DATE(17,11,1)</f>
        <v>6515</v>
      </c>
      <c r="C38" s="226">
        <v>169590449.53</v>
      </c>
      <c r="D38" s="226">
        <v>15514479.14</v>
      </c>
      <c r="E38" s="226">
        <v>15819308.66</v>
      </c>
      <c r="F38" s="166">
        <f>(+D38-E38)/E38</f>
        <v>-0.019269459023249096</v>
      </c>
      <c r="G38" s="241">
        <f>D38/C38</f>
        <v>0.09148203323357273</v>
      </c>
      <c r="H38" s="242">
        <f>1-G38</f>
        <v>0.9085179667664273</v>
      </c>
      <c r="I38" s="157"/>
    </row>
    <row r="39" spans="1:9" ht="15.75" thickBot="1">
      <c r="A39" s="167"/>
      <c r="B39" s="168"/>
      <c r="C39" s="226"/>
      <c r="D39" s="226"/>
      <c r="E39" s="226"/>
      <c r="F39" s="166"/>
      <c r="G39" s="241"/>
      <c r="H39" s="242"/>
      <c r="I39" s="157"/>
    </row>
    <row r="40" spans="1:9" ht="17.25" thickBot="1" thickTop="1">
      <c r="A40" s="174" t="s">
        <v>14</v>
      </c>
      <c r="B40" s="178"/>
      <c r="C40" s="228">
        <f>SUM(C34:C39)</f>
        <v>902588427.0699999</v>
      </c>
      <c r="D40" s="228">
        <f>SUM(D34:D39)</f>
        <v>82794535.55</v>
      </c>
      <c r="E40" s="228">
        <f>SUM(E34:E39)</f>
        <v>84781305.53999999</v>
      </c>
      <c r="F40" s="176">
        <f>(+D40-E40)/E40</f>
        <v>-0.023434057512391485</v>
      </c>
      <c r="G40" s="245">
        <f>D40/C40</f>
        <v>0.09173010983396854</v>
      </c>
      <c r="H40" s="246">
        <f>1-G40</f>
        <v>0.9082698901660314</v>
      </c>
      <c r="I40" s="157"/>
    </row>
    <row r="41" spans="1:9" ht="15.75" thickTop="1">
      <c r="A41" s="167"/>
      <c r="B41" s="168"/>
      <c r="C41" s="226"/>
      <c r="D41" s="226"/>
      <c r="E41" s="226"/>
      <c r="F41" s="166"/>
      <c r="G41" s="241"/>
      <c r="H41" s="242"/>
      <c r="I41" s="157"/>
    </row>
    <row r="42" spans="1:9" ht="15.75">
      <c r="A42" s="164" t="s">
        <v>16</v>
      </c>
      <c r="B42" s="165">
        <f>DATE(17,7,1)</f>
        <v>6392</v>
      </c>
      <c r="C42" s="226">
        <v>122650754.72</v>
      </c>
      <c r="D42" s="226">
        <v>12389304.68</v>
      </c>
      <c r="E42" s="226">
        <v>10986140.39</v>
      </c>
      <c r="F42" s="166">
        <f>(+D42-E42)/E42</f>
        <v>0.12772131432775174</v>
      </c>
      <c r="G42" s="241">
        <f>D42/C42</f>
        <v>0.1010128694950439</v>
      </c>
      <c r="H42" s="242">
        <f>1-G42</f>
        <v>0.8989871305049562</v>
      </c>
      <c r="I42" s="157"/>
    </row>
    <row r="43" spans="1:9" ht="15.75">
      <c r="A43" s="164"/>
      <c r="B43" s="165">
        <f>DATE(17,8,1)</f>
        <v>6423</v>
      </c>
      <c r="C43" s="226">
        <v>118081260.75</v>
      </c>
      <c r="D43" s="226">
        <v>11735802.96</v>
      </c>
      <c r="E43" s="226">
        <v>11023402.54</v>
      </c>
      <c r="F43" s="166">
        <f>(+D43-E43)/E43</f>
        <v>0.06462618210801561</v>
      </c>
      <c r="G43" s="241">
        <f>D43/C43</f>
        <v>0.0993875140344824</v>
      </c>
      <c r="H43" s="242">
        <f>1-G43</f>
        <v>0.9006124859655176</v>
      </c>
      <c r="I43" s="157"/>
    </row>
    <row r="44" spans="1:9" ht="15.75">
      <c r="A44" s="164"/>
      <c r="B44" s="165">
        <f>DATE(17,9,1)</f>
        <v>6454</v>
      </c>
      <c r="C44" s="226">
        <v>124802163.83</v>
      </c>
      <c r="D44" s="226">
        <v>11892155.97</v>
      </c>
      <c r="E44" s="226">
        <v>10758067.16</v>
      </c>
      <c r="F44" s="166">
        <f>(+D44-E44)/E44</f>
        <v>0.10541752464761528</v>
      </c>
      <c r="G44" s="241">
        <f>D44/C44</f>
        <v>0.09528805915736342</v>
      </c>
      <c r="H44" s="242">
        <f>1-G44</f>
        <v>0.9047119408426366</v>
      </c>
      <c r="I44" s="157"/>
    </row>
    <row r="45" spans="1:9" ht="15.75">
      <c r="A45" s="164"/>
      <c r="B45" s="165">
        <f>DATE(17,10,1)</f>
        <v>6484</v>
      </c>
      <c r="C45" s="226">
        <v>121164519.66</v>
      </c>
      <c r="D45" s="226">
        <v>11365393.67</v>
      </c>
      <c r="E45" s="226">
        <v>10388271.47</v>
      </c>
      <c r="F45" s="166">
        <f>(+D45-E45)/E45</f>
        <v>0.0940601333746238</v>
      </c>
      <c r="G45" s="241">
        <f>D45/C45</f>
        <v>0.09380133476278744</v>
      </c>
      <c r="H45" s="242">
        <f>1-G45</f>
        <v>0.9061986652372126</v>
      </c>
      <c r="I45" s="157"/>
    </row>
    <row r="46" spans="1:9" ht="15.75">
      <c r="A46" s="164"/>
      <c r="B46" s="165">
        <f>DATE(17,11,1)</f>
        <v>6515</v>
      </c>
      <c r="C46" s="226">
        <v>108604695.6</v>
      </c>
      <c r="D46" s="226">
        <v>10423153.18</v>
      </c>
      <c r="E46" s="226">
        <v>10027604.31</v>
      </c>
      <c r="F46" s="166">
        <f>(+D46-E46)/E46</f>
        <v>0.03944599904142001</v>
      </c>
      <c r="G46" s="241">
        <f>D46/C46</f>
        <v>0.0959733197760558</v>
      </c>
      <c r="H46" s="242">
        <f>1-G46</f>
        <v>0.9040266802239442</v>
      </c>
      <c r="I46" s="157"/>
    </row>
    <row r="47" spans="1:9" ht="15.75" thickBot="1">
      <c r="A47" s="167"/>
      <c r="B47" s="165"/>
      <c r="C47" s="226"/>
      <c r="D47" s="226"/>
      <c r="E47" s="226"/>
      <c r="F47" s="166"/>
      <c r="G47" s="241"/>
      <c r="H47" s="242"/>
      <c r="I47" s="157"/>
    </row>
    <row r="48" spans="1:9" ht="17.25" thickBot="1" thickTop="1">
      <c r="A48" s="174" t="s">
        <v>14</v>
      </c>
      <c r="B48" s="175"/>
      <c r="C48" s="228">
        <f>SUM(C42:C47)</f>
        <v>595303394.5600001</v>
      </c>
      <c r="D48" s="230">
        <f>SUM(D42:D47)</f>
        <v>57805810.46</v>
      </c>
      <c r="E48" s="271">
        <f>SUM(E42:E47)</f>
        <v>53183485.870000005</v>
      </c>
      <c r="F48" s="272">
        <f>(+D48-E48)/E48</f>
        <v>0.08691277967936621</v>
      </c>
      <c r="G48" s="249">
        <f>D48/C48</f>
        <v>0.0971031090839409</v>
      </c>
      <c r="H48" s="270">
        <f>1-G48</f>
        <v>0.9028968909160591</v>
      </c>
      <c r="I48" s="157"/>
    </row>
    <row r="49" spans="1:9" ht="15.75" thickTop="1">
      <c r="A49" s="167"/>
      <c r="B49" s="168"/>
      <c r="C49" s="226"/>
      <c r="D49" s="226"/>
      <c r="E49" s="226"/>
      <c r="F49" s="166"/>
      <c r="G49" s="241"/>
      <c r="H49" s="242"/>
      <c r="I49" s="157"/>
    </row>
    <row r="50" spans="1:9" ht="15.75">
      <c r="A50" s="164" t="s">
        <v>66</v>
      </c>
      <c r="B50" s="165">
        <f>DATE(17,7,1)</f>
        <v>6392</v>
      </c>
      <c r="C50" s="226">
        <v>48763845.1</v>
      </c>
      <c r="D50" s="226">
        <v>4991725.48</v>
      </c>
      <c r="E50" s="226">
        <v>5336762.36</v>
      </c>
      <c r="F50" s="166">
        <f>(+D50-E50)/E50</f>
        <v>-0.0646528469369582</v>
      </c>
      <c r="G50" s="241">
        <f>D50/C50</f>
        <v>0.10236529686622273</v>
      </c>
      <c r="H50" s="242">
        <f>1-G50</f>
        <v>0.8976347031337772</v>
      </c>
      <c r="I50" s="157"/>
    </row>
    <row r="51" spans="1:9" ht="15.75">
      <c r="A51" s="164"/>
      <c r="B51" s="165">
        <f>DATE(17,8,1)</f>
        <v>6423</v>
      </c>
      <c r="C51" s="226">
        <v>46643306.34</v>
      </c>
      <c r="D51" s="226">
        <v>4592418.47</v>
      </c>
      <c r="E51" s="226">
        <v>4882835.18</v>
      </c>
      <c r="F51" s="166">
        <f>(+D51-E51)/E51</f>
        <v>-0.05947706594511756</v>
      </c>
      <c r="G51" s="241">
        <f>D51/C51</f>
        <v>0.0984582532919985</v>
      </c>
      <c r="H51" s="242">
        <f>1-G51</f>
        <v>0.9015417467080015</v>
      </c>
      <c r="I51" s="157"/>
    </row>
    <row r="52" spans="1:9" ht="15.75">
      <c r="A52" s="164"/>
      <c r="B52" s="165">
        <f>DATE(17,9,1)</f>
        <v>6454</v>
      </c>
      <c r="C52" s="226">
        <v>47450126.56</v>
      </c>
      <c r="D52" s="226">
        <v>5151289.35</v>
      </c>
      <c r="E52" s="226">
        <v>4889525.49</v>
      </c>
      <c r="F52" s="166">
        <f>(+D52-E52)/E52</f>
        <v>0.0535356366451828</v>
      </c>
      <c r="G52" s="241">
        <f>D52/C52</f>
        <v>0.1085621835694425</v>
      </c>
      <c r="H52" s="242">
        <f>1-G52</f>
        <v>0.8914378164305575</v>
      </c>
      <c r="I52" s="157"/>
    </row>
    <row r="53" spans="1:9" ht="15.75">
      <c r="A53" s="164"/>
      <c r="B53" s="165">
        <f>DATE(17,10,1)</f>
        <v>6484</v>
      </c>
      <c r="C53" s="226">
        <v>43853918.35</v>
      </c>
      <c r="D53" s="226">
        <v>4567525</v>
      </c>
      <c r="E53" s="226">
        <v>4651162.99</v>
      </c>
      <c r="F53" s="166">
        <f>(+D53-E53)/E53</f>
        <v>-0.01798216707946419</v>
      </c>
      <c r="G53" s="241">
        <f>D53/C53</f>
        <v>0.10415317882307316</v>
      </c>
      <c r="H53" s="242">
        <f>1-G53</f>
        <v>0.8958468211769268</v>
      </c>
      <c r="I53" s="157"/>
    </row>
    <row r="54" spans="1:9" ht="15.75">
      <c r="A54" s="164"/>
      <c r="B54" s="165">
        <f>DATE(17,11,1)</f>
        <v>6515</v>
      </c>
      <c r="C54" s="226">
        <v>42534698.28</v>
      </c>
      <c r="D54" s="226">
        <v>4348004.21</v>
      </c>
      <c r="E54" s="226">
        <v>4567000.88</v>
      </c>
      <c r="F54" s="166">
        <f>(+D54-E54)/E54</f>
        <v>-0.04795196579861397</v>
      </c>
      <c r="G54" s="241">
        <f>D54/C54</f>
        <v>0.10222252386457976</v>
      </c>
      <c r="H54" s="242">
        <f>1-G54</f>
        <v>0.8977774761354202</v>
      </c>
      <c r="I54" s="157"/>
    </row>
    <row r="55" spans="1:9" ht="15.75" thickBot="1">
      <c r="A55" s="167"/>
      <c r="B55" s="165"/>
      <c r="C55" s="226"/>
      <c r="D55" s="226"/>
      <c r="E55" s="226"/>
      <c r="F55" s="166"/>
      <c r="G55" s="241"/>
      <c r="H55" s="242"/>
      <c r="I55" s="157"/>
    </row>
    <row r="56" spans="1:9" ht="17.25" thickBot="1" thickTop="1">
      <c r="A56" s="174" t="s">
        <v>14</v>
      </c>
      <c r="B56" s="175"/>
      <c r="C56" s="228">
        <f>SUM(C50:C55)</f>
        <v>229245894.63</v>
      </c>
      <c r="D56" s="230">
        <f>SUM(D50:D55)</f>
        <v>23650962.509999998</v>
      </c>
      <c r="E56" s="271">
        <f>SUM(E50:E55)</f>
        <v>24327286.9</v>
      </c>
      <c r="F56" s="272">
        <f>(+D56-E56)/E56</f>
        <v>-0.027801061120383327</v>
      </c>
      <c r="G56" s="249">
        <f>D56/C56</f>
        <v>0.10316853241002355</v>
      </c>
      <c r="H56" s="270">
        <f>1-G56</f>
        <v>0.8968314675899764</v>
      </c>
      <c r="I56" s="157"/>
    </row>
    <row r="57" spans="1:9" ht="15.75" thickTop="1">
      <c r="A57" s="167"/>
      <c r="B57" s="168"/>
      <c r="C57" s="226"/>
      <c r="D57" s="226"/>
      <c r="E57" s="226"/>
      <c r="F57" s="166"/>
      <c r="G57" s="241"/>
      <c r="H57" s="242"/>
      <c r="I57" s="157"/>
    </row>
    <row r="58" spans="1:9" ht="15.75">
      <c r="A58" s="164" t="s">
        <v>17</v>
      </c>
      <c r="B58" s="165">
        <f>DATE(17,7,1)</f>
        <v>6392</v>
      </c>
      <c r="C58" s="226">
        <v>51730614.82</v>
      </c>
      <c r="D58" s="226">
        <v>5822170.92</v>
      </c>
      <c r="E58" s="226">
        <v>5949492.25</v>
      </c>
      <c r="F58" s="166">
        <f>(+D58-E58)/E58</f>
        <v>-0.021400369081916205</v>
      </c>
      <c r="G58" s="241">
        <f>D58/C58</f>
        <v>0.11254787789123748</v>
      </c>
      <c r="H58" s="242">
        <f>1-G58</f>
        <v>0.8874521221087626</v>
      </c>
      <c r="I58" s="157"/>
    </row>
    <row r="59" spans="1:9" ht="15.75">
      <c r="A59" s="164"/>
      <c r="B59" s="165">
        <f>DATE(17,8,1)</f>
        <v>6423</v>
      </c>
      <c r="C59" s="226">
        <v>50278496.66</v>
      </c>
      <c r="D59" s="226">
        <v>5585308.33</v>
      </c>
      <c r="E59" s="226">
        <v>5777712.11</v>
      </c>
      <c r="F59" s="166">
        <f>(+D59-E59)/E59</f>
        <v>-0.033301032716218225</v>
      </c>
      <c r="G59" s="241">
        <f>D59/C59</f>
        <v>0.11108741710735152</v>
      </c>
      <c r="H59" s="242">
        <f>1-G59</f>
        <v>0.8889125828926485</v>
      </c>
      <c r="I59" s="157"/>
    </row>
    <row r="60" spans="1:9" ht="15.75">
      <c r="A60" s="164"/>
      <c r="B60" s="165">
        <f>DATE(17,9,1)</f>
        <v>6454</v>
      </c>
      <c r="C60" s="226">
        <v>51254253.76</v>
      </c>
      <c r="D60" s="226">
        <v>5571414.24</v>
      </c>
      <c r="E60" s="226">
        <v>5530260.84</v>
      </c>
      <c r="F60" s="166">
        <f>(+D60-E60)/E60</f>
        <v>0.007441493482972925</v>
      </c>
      <c r="G60" s="241">
        <f>D60/C60</f>
        <v>0.10870149951042815</v>
      </c>
      <c r="H60" s="242">
        <f>1-G60</f>
        <v>0.8912985004895718</v>
      </c>
      <c r="I60" s="157"/>
    </row>
    <row r="61" spans="1:9" ht="15.75">
      <c r="A61" s="164"/>
      <c r="B61" s="165">
        <f>DATE(17,10,1)</f>
        <v>6484</v>
      </c>
      <c r="C61" s="226">
        <v>48929722.41</v>
      </c>
      <c r="D61" s="226">
        <v>5441119.06</v>
      </c>
      <c r="E61" s="226">
        <v>5730702.37</v>
      </c>
      <c r="F61" s="166">
        <f>(+D61-E61)/E61</f>
        <v>-0.050531905393649074</v>
      </c>
      <c r="G61" s="241">
        <f>D61/C61</f>
        <v>0.11120273715037411</v>
      </c>
      <c r="H61" s="242">
        <f>1-G61</f>
        <v>0.8887972628496259</v>
      </c>
      <c r="I61" s="157"/>
    </row>
    <row r="62" spans="1:9" ht="15.75">
      <c r="A62" s="164"/>
      <c r="B62" s="165">
        <f>DATE(17,11,1)</f>
        <v>6515</v>
      </c>
      <c r="C62" s="226">
        <v>47395483.1</v>
      </c>
      <c r="D62" s="226">
        <v>5393254.4</v>
      </c>
      <c r="E62" s="226">
        <v>5507223.42</v>
      </c>
      <c r="F62" s="166">
        <f>(+D62-E62)/E62</f>
        <v>-0.020694460948526318</v>
      </c>
      <c r="G62" s="241">
        <f>D62/C62</f>
        <v>0.11379258206147497</v>
      </c>
      <c r="H62" s="242">
        <f>1-G62</f>
        <v>0.8862074179385251</v>
      </c>
      <c r="I62" s="157"/>
    </row>
    <row r="63" spans="1:9" ht="15.75" thickBot="1">
      <c r="A63" s="167"/>
      <c r="B63" s="165"/>
      <c r="C63" s="226"/>
      <c r="D63" s="226"/>
      <c r="E63" s="226"/>
      <c r="F63" s="166"/>
      <c r="G63" s="241"/>
      <c r="H63" s="242"/>
      <c r="I63" s="157"/>
    </row>
    <row r="64" spans="1:9" ht="17.25" thickBot="1" thickTop="1">
      <c r="A64" s="174" t="s">
        <v>14</v>
      </c>
      <c r="B64" s="175"/>
      <c r="C64" s="228">
        <f>SUM(C58:C63)</f>
        <v>249588570.74999997</v>
      </c>
      <c r="D64" s="230">
        <f>SUM(D58:D63)</f>
        <v>27813266.950000003</v>
      </c>
      <c r="E64" s="271">
        <f>SUM(E58:E63)</f>
        <v>28495390.990000002</v>
      </c>
      <c r="F64" s="272">
        <f>(+D64-E64)/E64</f>
        <v>-0.023938048094843813</v>
      </c>
      <c r="G64" s="249">
        <f>D64/C64</f>
        <v>0.11143646067775724</v>
      </c>
      <c r="H64" s="270">
        <f>1-G64</f>
        <v>0.8885635393222427</v>
      </c>
      <c r="I64" s="157"/>
    </row>
    <row r="65" spans="1:9" ht="15.75" thickTop="1">
      <c r="A65" s="167"/>
      <c r="B65" s="168"/>
      <c r="C65" s="226"/>
      <c r="D65" s="226"/>
      <c r="E65" s="226"/>
      <c r="F65" s="166"/>
      <c r="G65" s="241"/>
      <c r="H65" s="242"/>
      <c r="I65" s="157"/>
    </row>
    <row r="66" spans="1:9" ht="15.75">
      <c r="A66" s="164" t="s">
        <v>67</v>
      </c>
      <c r="B66" s="165">
        <f>DATE(17,7,1)</f>
        <v>6392</v>
      </c>
      <c r="C66" s="226">
        <v>109468070.42</v>
      </c>
      <c r="D66" s="226">
        <v>10117966.68</v>
      </c>
      <c r="E66" s="226">
        <v>8936566.59</v>
      </c>
      <c r="F66" s="166">
        <f>(+D66-E66)/E66</f>
        <v>0.13219843192596856</v>
      </c>
      <c r="G66" s="241">
        <f>D66/C66</f>
        <v>0.09242847381140493</v>
      </c>
      <c r="H66" s="242">
        <f>1-G66</f>
        <v>0.907571526188595</v>
      </c>
      <c r="I66" s="157"/>
    </row>
    <row r="67" spans="1:9" ht="15.75">
      <c r="A67" s="164"/>
      <c r="B67" s="165">
        <f>DATE(17,8,1)</f>
        <v>6423</v>
      </c>
      <c r="C67" s="226">
        <v>102310953.37</v>
      </c>
      <c r="D67" s="226">
        <v>10081520.41</v>
      </c>
      <c r="E67" s="226">
        <v>7748842.64</v>
      </c>
      <c r="F67" s="166">
        <f>(+D67-E67)/E67</f>
        <v>0.3010356356907514</v>
      </c>
      <c r="G67" s="241">
        <f>D67/C67</f>
        <v>0.09853803603550566</v>
      </c>
      <c r="H67" s="242">
        <f>1-G67</f>
        <v>0.9014619639644943</v>
      </c>
      <c r="I67" s="157"/>
    </row>
    <row r="68" spans="1:9" ht="15.75">
      <c r="A68" s="164"/>
      <c r="B68" s="165">
        <f>DATE(17,9,1)</f>
        <v>6454</v>
      </c>
      <c r="C68" s="226">
        <v>103135206.2</v>
      </c>
      <c r="D68" s="226">
        <v>9642813.36</v>
      </c>
      <c r="E68" s="226">
        <v>8194684.76</v>
      </c>
      <c r="F68" s="166">
        <f>(+D68-E68)/E68</f>
        <v>0.17671559582970459</v>
      </c>
      <c r="G68" s="241">
        <f>D68/C68</f>
        <v>0.09349681563927488</v>
      </c>
      <c r="H68" s="242">
        <f>1-G68</f>
        <v>0.9065031843607251</v>
      </c>
      <c r="I68" s="157"/>
    </row>
    <row r="69" spans="1:9" ht="15.75">
      <c r="A69" s="164"/>
      <c r="B69" s="165">
        <f>DATE(17,10,1)</f>
        <v>6484</v>
      </c>
      <c r="C69" s="226">
        <v>98551658.52</v>
      </c>
      <c r="D69" s="226">
        <v>9440836.54</v>
      </c>
      <c r="E69" s="226">
        <v>8155477.29</v>
      </c>
      <c r="F69" s="166">
        <f>(+D69-E69)/E69</f>
        <v>0.15760687011857266</v>
      </c>
      <c r="G69" s="241">
        <f>D69/C69</f>
        <v>0.09579581593833941</v>
      </c>
      <c r="H69" s="242">
        <f>1-G69</f>
        <v>0.9042041840616606</v>
      </c>
      <c r="I69" s="157"/>
    </row>
    <row r="70" spans="1:9" ht="15.75">
      <c r="A70" s="164"/>
      <c r="B70" s="165">
        <f>DATE(17,11,1)</f>
        <v>6515</v>
      </c>
      <c r="C70" s="226">
        <v>104447200.76</v>
      </c>
      <c r="D70" s="226">
        <v>9748687.32</v>
      </c>
      <c r="E70" s="226">
        <v>7902548.5</v>
      </c>
      <c r="F70" s="166">
        <f>(+D70-E70)/E70</f>
        <v>0.2336130958259858</v>
      </c>
      <c r="G70" s="241">
        <f>D70/C70</f>
        <v>0.0933360324552943</v>
      </c>
      <c r="H70" s="242">
        <f>1-G70</f>
        <v>0.9066639675447057</v>
      </c>
      <c r="I70" s="157"/>
    </row>
    <row r="71" spans="1:9" ht="15.75" thickBot="1">
      <c r="A71" s="167"/>
      <c r="B71" s="165"/>
      <c r="C71" s="226"/>
      <c r="D71" s="226"/>
      <c r="E71" s="226"/>
      <c r="F71" s="166"/>
      <c r="G71" s="241"/>
      <c r="H71" s="242"/>
      <c r="I71" s="157"/>
    </row>
    <row r="72" spans="1:9" ht="17.25" thickBot="1" thickTop="1">
      <c r="A72" s="174" t="s">
        <v>14</v>
      </c>
      <c r="B72" s="175"/>
      <c r="C72" s="228">
        <f>SUM(C66:C71)</f>
        <v>517913089.27</v>
      </c>
      <c r="D72" s="230">
        <f>SUM(D66:D71)</f>
        <v>49031824.309999995</v>
      </c>
      <c r="E72" s="271">
        <f>SUM(E66:E71)</f>
        <v>40938119.78</v>
      </c>
      <c r="F72" s="176">
        <f>(+D72-E72)/E72</f>
        <v>0.19770581974685877</v>
      </c>
      <c r="G72" s="249">
        <f>D72/C72</f>
        <v>0.0946719156666044</v>
      </c>
      <c r="H72" s="270">
        <f>1-G72</f>
        <v>0.9053280843333956</v>
      </c>
      <c r="I72" s="157"/>
    </row>
    <row r="73" spans="1:9" ht="15.75" thickTop="1">
      <c r="A73" s="167"/>
      <c r="B73" s="179"/>
      <c r="C73" s="229"/>
      <c r="D73" s="229"/>
      <c r="E73" s="229"/>
      <c r="F73" s="180"/>
      <c r="G73" s="247"/>
      <c r="H73" s="248"/>
      <c r="I73" s="157"/>
    </row>
    <row r="74" spans="1:9" ht="15.75">
      <c r="A74" s="164" t="s">
        <v>18</v>
      </c>
      <c r="B74" s="165">
        <f>DATE(17,7,1)</f>
        <v>6392</v>
      </c>
      <c r="C74" s="226">
        <v>149607316.71</v>
      </c>
      <c r="D74" s="226">
        <v>13990899.67</v>
      </c>
      <c r="E74" s="226">
        <v>14874442.41</v>
      </c>
      <c r="F74" s="166">
        <f>(+D74-E74)/E74</f>
        <v>-0.05940005787416943</v>
      </c>
      <c r="G74" s="241">
        <f>D74/C74</f>
        <v>0.0935174828188388</v>
      </c>
      <c r="H74" s="242">
        <f>1-G74</f>
        <v>0.9064825171811612</v>
      </c>
      <c r="I74" s="157"/>
    </row>
    <row r="75" spans="1:9" ht="15.75">
      <c r="A75" s="164"/>
      <c r="B75" s="165">
        <f>DATE(17,8,1)</f>
        <v>6423</v>
      </c>
      <c r="C75" s="226">
        <v>139476395.92</v>
      </c>
      <c r="D75" s="226">
        <v>13373041.55</v>
      </c>
      <c r="E75" s="226">
        <v>13587466.12</v>
      </c>
      <c r="F75" s="166">
        <f>(+D75-E75)/E75</f>
        <v>-0.015781056460878847</v>
      </c>
      <c r="G75" s="241">
        <f>D75/C75</f>
        <v>0.0958803205502272</v>
      </c>
      <c r="H75" s="242">
        <f>1-G75</f>
        <v>0.9041196794497728</v>
      </c>
      <c r="I75" s="157"/>
    </row>
    <row r="76" spans="1:9" ht="15.75">
      <c r="A76" s="164"/>
      <c r="B76" s="165">
        <f>DATE(17,9,1)</f>
        <v>6454</v>
      </c>
      <c r="C76" s="226">
        <v>143776566.54</v>
      </c>
      <c r="D76" s="226">
        <v>13392030.43</v>
      </c>
      <c r="E76" s="226">
        <v>13653509.51</v>
      </c>
      <c r="F76" s="166">
        <f>(+D76-E76)/E76</f>
        <v>-0.019151052687844804</v>
      </c>
      <c r="G76" s="241">
        <f>D76/C76</f>
        <v>0.09314473667219067</v>
      </c>
      <c r="H76" s="242">
        <f>1-G76</f>
        <v>0.9068552633278093</v>
      </c>
      <c r="I76" s="157"/>
    </row>
    <row r="77" spans="1:9" ht="15.75">
      <c r="A77" s="164"/>
      <c r="B77" s="165">
        <f>DATE(17,10,1)</f>
        <v>6484</v>
      </c>
      <c r="C77" s="226">
        <v>137124347.25</v>
      </c>
      <c r="D77" s="226">
        <v>12769108.56</v>
      </c>
      <c r="E77" s="226">
        <v>13910961.09</v>
      </c>
      <c r="F77" s="166">
        <f>(+D77-E77)/E77</f>
        <v>-0.08208293608274332</v>
      </c>
      <c r="G77" s="241">
        <f>D77/C77</f>
        <v>0.09312065155518909</v>
      </c>
      <c r="H77" s="242">
        <f>1-G77</f>
        <v>0.9068793484448109</v>
      </c>
      <c r="I77" s="157"/>
    </row>
    <row r="78" spans="1:9" ht="15.75">
      <c r="A78" s="164"/>
      <c r="B78" s="165">
        <f>DATE(17,11,1)</f>
        <v>6515</v>
      </c>
      <c r="C78" s="226">
        <v>132140000.6</v>
      </c>
      <c r="D78" s="226">
        <v>12739975.57</v>
      </c>
      <c r="E78" s="226">
        <v>13119547.64</v>
      </c>
      <c r="F78" s="166">
        <f>(+D78-E78)/E78</f>
        <v>-0.028931795547792245</v>
      </c>
      <c r="G78" s="241">
        <f>D78/C78</f>
        <v>0.09641271009650655</v>
      </c>
      <c r="H78" s="242">
        <f>1-G78</f>
        <v>0.9035872899034935</v>
      </c>
      <c r="I78" s="157"/>
    </row>
    <row r="79" spans="1:9" ht="15.75" customHeight="1" thickBot="1">
      <c r="A79" s="164"/>
      <c r="B79" s="165"/>
      <c r="C79" s="226"/>
      <c r="D79" s="226"/>
      <c r="E79" s="226"/>
      <c r="F79" s="166"/>
      <c r="G79" s="241"/>
      <c r="H79" s="242"/>
      <c r="I79" s="157"/>
    </row>
    <row r="80" spans="1:9" ht="17.25" thickBot="1" thickTop="1">
      <c r="A80" s="174" t="s">
        <v>14</v>
      </c>
      <c r="B80" s="181"/>
      <c r="C80" s="228">
        <f>SUM(C74:C79)</f>
        <v>702124627.02</v>
      </c>
      <c r="D80" s="228">
        <f>SUM(D74:D79)</f>
        <v>66265055.78</v>
      </c>
      <c r="E80" s="228">
        <f>SUM(E74:E79)</f>
        <v>69145926.77</v>
      </c>
      <c r="F80" s="176">
        <f>(+D80-E80)/E80</f>
        <v>-0.041663639849425</v>
      </c>
      <c r="G80" s="245">
        <f>D80/C80</f>
        <v>0.09437791131361704</v>
      </c>
      <c r="H80" s="246">
        <f>1-G80</f>
        <v>0.9056220886863829</v>
      </c>
      <c r="I80" s="157"/>
    </row>
    <row r="81" spans="1:9" ht="15.75" thickTop="1">
      <c r="A81" s="171"/>
      <c r="B81" s="172"/>
      <c r="C81" s="227"/>
      <c r="D81" s="227"/>
      <c r="E81" s="227"/>
      <c r="F81" s="173"/>
      <c r="G81" s="243"/>
      <c r="H81" s="244"/>
      <c r="I81" s="157"/>
    </row>
    <row r="82" spans="1:9" ht="15.75">
      <c r="A82" s="164" t="s">
        <v>58</v>
      </c>
      <c r="B82" s="165">
        <f>DATE(17,7,1)</f>
        <v>6392</v>
      </c>
      <c r="C82" s="226">
        <v>187696645.78</v>
      </c>
      <c r="D82" s="226">
        <v>17449857.02</v>
      </c>
      <c r="E82" s="226">
        <v>18055170.59</v>
      </c>
      <c r="F82" s="166">
        <f>(+D82-E82)/E82</f>
        <v>-0.03352577407024102</v>
      </c>
      <c r="G82" s="241">
        <f>D82/C82</f>
        <v>0.09296840094016942</v>
      </c>
      <c r="H82" s="242">
        <f>1-G82</f>
        <v>0.9070315990598306</v>
      </c>
      <c r="I82" s="157"/>
    </row>
    <row r="83" spans="1:9" ht="15.75">
      <c r="A83" s="164"/>
      <c r="B83" s="165">
        <f>DATE(17,8,1)</f>
        <v>6423</v>
      </c>
      <c r="C83" s="226">
        <v>180877315.36</v>
      </c>
      <c r="D83" s="226">
        <v>16610228.17</v>
      </c>
      <c r="E83" s="226">
        <v>16341152.65</v>
      </c>
      <c r="F83" s="166">
        <f>(+D83-E83)/E83</f>
        <v>0.01646612853836841</v>
      </c>
      <c r="G83" s="241">
        <f>D83/C83</f>
        <v>0.09183146121414215</v>
      </c>
      <c r="H83" s="242">
        <f>1-G83</f>
        <v>0.9081685387858578</v>
      </c>
      <c r="I83" s="157"/>
    </row>
    <row r="84" spans="1:9" ht="15.75">
      <c r="A84" s="164"/>
      <c r="B84" s="165">
        <f>DATE(17,9,1)</f>
        <v>6454</v>
      </c>
      <c r="C84" s="226">
        <v>179839451.12</v>
      </c>
      <c r="D84" s="226">
        <v>16301470.13</v>
      </c>
      <c r="E84" s="226">
        <v>15682621.27</v>
      </c>
      <c r="F84" s="166">
        <f>(+D84-E84)/E84</f>
        <v>0.03946080501120214</v>
      </c>
      <c r="G84" s="241">
        <f>D84/C84</f>
        <v>0.09064457230311858</v>
      </c>
      <c r="H84" s="242">
        <f>1-G84</f>
        <v>0.9093554276968814</v>
      </c>
      <c r="I84" s="157"/>
    </row>
    <row r="85" spans="1:9" ht="15.75">
      <c r="A85" s="164"/>
      <c r="B85" s="165">
        <f>DATE(17,10,1)</f>
        <v>6484</v>
      </c>
      <c r="C85" s="226">
        <v>168519417.42</v>
      </c>
      <c r="D85" s="226">
        <v>15646297.04</v>
      </c>
      <c r="E85" s="226">
        <v>16857793.66</v>
      </c>
      <c r="F85" s="166">
        <f>(+D85-E85)/E85</f>
        <v>-0.07186566904509145</v>
      </c>
      <c r="G85" s="241">
        <f>D85/C85</f>
        <v>0.09284566300751457</v>
      </c>
      <c r="H85" s="242">
        <f>1-G85</f>
        <v>0.9071543369924855</v>
      </c>
      <c r="I85" s="157"/>
    </row>
    <row r="86" spans="1:9" ht="15.75">
      <c r="A86" s="164"/>
      <c r="B86" s="165">
        <f>DATE(17,11,1)</f>
        <v>6515</v>
      </c>
      <c r="C86" s="226">
        <v>166126798.47</v>
      </c>
      <c r="D86" s="226">
        <v>15321390.57</v>
      </c>
      <c r="E86" s="226">
        <v>15363287.77</v>
      </c>
      <c r="F86" s="166">
        <f>(+D86-E86)/E86</f>
        <v>-0.0027270985629659437</v>
      </c>
      <c r="G86" s="241">
        <f>D86/C86</f>
        <v>0.09222708624440754</v>
      </c>
      <c r="H86" s="242">
        <f>1-G86</f>
        <v>0.9077729137555924</v>
      </c>
      <c r="I86" s="157"/>
    </row>
    <row r="87" spans="1:9" ht="15.75" thickBot="1">
      <c r="A87" s="167"/>
      <c r="B87" s="168"/>
      <c r="C87" s="226"/>
      <c r="D87" s="226"/>
      <c r="E87" s="226"/>
      <c r="F87" s="166"/>
      <c r="G87" s="241"/>
      <c r="H87" s="242"/>
      <c r="I87" s="157"/>
    </row>
    <row r="88" spans="1:9" ht="17.25" thickBot="1" thickTop="1">
      <c r="A88" s="174" t="s">
        <v>14</v>
      </c>
      <c r="B88" s="175"/>
      <c r="C88" s="228">
        <f>SUM(C82:C87)</f>
        <v>883059628.15</v>
      </c>
      <c r="D88" s="228">
        <f>SUM(D82:D87)</f>
        <v>81329242.93</v>
      </c>
      <c r="E88" s="228">
        <f>SUM(E82:E87)</f>
        <v>82300025.94</v>
      </c>
      <c r="F88" s="176">
        <f>(+D88-E88)/E88</f>
        <v>-0.011795658615074192</v>
      </c>
      <c r="G88" s="249">
        <f>D88/C88</f>
        <v>0.09209937849880405</v>
      </c>
      <c r="H88" s="270">
        <f>1-G88</f>
        <v>0.907900621501196</v>
      </c>
      <c r="I88" s="157"/>
    </row>
    <row r="89" spans="1:9" ht="15.75" thickTop="1">
      <c r="A89" s="167"/>
      <c r="B89" s="168"/>
      <c r="C89" s="226"/>
      <c r="D89" s="226"/>
      <c r="E89" s="226"/>
      <c r="F89" s="166"/>
      <c r="G89" s="241"/>
      <c r="H89" s="242"/>
      <c r="I89" s="157"/>
    </row>
    <row r="90" spans="1:9" ht="15.75">
      <c r="A90" s="164" t="s">
        <v>59</v>
      </c>
      <c r="B90" s="165">
        <f>DATE(17,7,1)</f>
        <v>6392</v>
      </c>
      <c r="C90" s="226">
        <v>23593924.79</v>
      </c>
      <c r="D90" s="226">
        <v>2744349.13</v>
      </c>
      <c r="E90" s="226">
        <v>2795817.88</v>
      </c>
      <c r="F90" s="166">
        <f>(+D90-E90)/E90</f>
        <v>-0.01840919266171944</v>
      </c>
      <c r="G90" s="241">
        <f>D90/C90</f>
        <v>0.11631592261255148</v>
      </c>
      <c r="H90" s="242">
        <f>1-G90</f>
        <v>0.8836840773874485</v>
      </c>
      <c r="I90" s="157"/>
    </row>
    <row r="91" spans="1:9" ht="15.75">
      <c r="A91" s="164"/>
      <c r="B91" s="165">
        <f>DATE(17,8,1)</f>
        <v>6423</v>
      </c>
      <c r="C91" s="226">
        <v>21507122.18</v>
      </c>
      <c r="D91" s="226">
        <v>2540959.26</v>
      </c>
      <c r="E91" s="226">
        <v>2610502.16</v>
      </c>
      <c r="F91" s="166">
        <f>(+D91-E91)/E91</f>
        <v>-0.026639663841534753</v>
      </c>
      <c r="G91" s="241">
        <f>D91/C91</f>
        <v>0.11814501441587104</v>
      </c>
      <c r="H91" s="242">
        <f>1-G91</f>
        <v>0.881854985584129</v>
      </c>
      <c r="I91" s="157"/>
    </row>
    <row r="92" spans="1:9" ht="15.75">
      <c r="A92" s="164"/>
      <c r="B92" s="165">
        <f>DATE(17,9,1)</f>
        <v>6454</v>
      </c>
      <c r="C92" s="226">
        <v>22920807.74</v>
      </c>
      <c r="D92" s="226">
        <v>2634253.17</v>
      </c>
      <c r="E92" s="226">
        <v>2597489.31</v>
      </c>
      <c r="F92" s="166">
        <f>(+D92-E92)/E92</f>
        <v>0.01415361359081007</v>
      </c>
      <c r="G92" s="241">
        <f>D92/C92</f>
        <v>0.11492846150455953</v>
      </c>
      <c r="H92" s="242">
        <f>1-G92</f>
        <v>0.8850715384954405</v>
      </c>
      <c r="I92" s="157"/>
    </row>
    <row r="93" spans="1:9" ht="15.75">
      <c r="A93" s="164"/>
      <c r="B93" s="165">
        <f>DATE(17,10,1)</f>
        <v>6484</v>
      </c>
      <c r="C93" s="226">
        <v>20376782.81</v>
      </c>
      <c r="D93" s="226">
        <v>2351008.96</v>
      </c>
      <c r="E93" s="226">
        <v>2658718.15</v>
      </c>
      <c r="F93" s="166">
        <f>(+D93-E93)/E93</f>
        <v>-0.115735919582149</v>
      </c>
      <c r="G93" s="241">
        <f>D93/C93</f>
        <v>0.11537684736209838</v>
      </c>
      <c r="H93" s="242">
        <f>1-G93</f>
        <v>0.8846231526379016</v>
      </c>
      <c r="I93" s="157"/>
    </row>
    <row r="94" spans="1:9" ht="15.75">
      <c r="A94" s="164"/>
      <c r="B94" s="165">
        <f>DATE(17,11,1)</f>
        <v>6515</v>
      </c>
      <c r="C94" s="226">
        <v>20648636.11</v>
      </c>
      <c r="D94" s="226">
        <v>2370174.99</v>
      </c>
      <c r="E94" s="226">
        <v>2541859.77</v>
      </c>
      <c r="F94" s="166">
        <f>(+D94-E94)/E94</f>
        <v>-0.06754297858060038</v>
      </c>
      <c r="G94" s="241">
        <f>D94/C94</f>
        <v>0.11478603126005693</v>
      </c>
      <c r="H94" s="242">
        <f>1-G94</f>
        <v>0.8852139687399431</v>
      </c>
      <c r="I94" s="157"/>
    </row>
    <row r="95" spans="1:9" ht="15.75" thickBot="1">
      <c r="A95" s="167"/>
      <c r="B95" s="168"/>
      <c r="C95" s="226"/>
      <c r="D95" s="226"/>
      <c r="E95" s="226"/>
      <c r="F95" s="166"/>
      <c r="G95" s="241"/>
      <c r="H95" s="242"/>
      <c r="I95" s="157"/>
    </row>
    <row r="96" spans="1:9" ht="17.25" thickBot="1" thickTop="1">
      <c r="A96" s="182" t="s">
        <v>14</v>
      </c>
      <c r="B96" s="183"/>
      <c r="C96" s="230">
        <f>SUM(C90:C95)</f>
        <v>109047273.63</v>
      </c>
      <c r="D96" s="230">
        <f>SUM(D90:D95)</f>
        <v>12640745.51</v>
      </c>
      <c r="E96" s="230">
        <f>SUM(E90:E95)</f>
        <v>13204387.27</v>
      </c>
      <c r="F96" s="176">
        <f>(+D96-E96)/E96</f>
        <v>-0.04268594585078386</v>
      </c>
      <c r="G96" s="249">
        <f>D96/C96</f>
        <v>0.11591986749609487</v>
      </c>
      <c r="H96" s="246">
        <f>1-G96</f>
        <v>0.8840801325039052</v>
      </c>
      <c r="I96" s="157"/>
    </row>
    <row r="97" spans="1:9" ht="15.75" thickTop="1">
      <c r="A97" s="167"/>
      <c r="B97" s="168"/>
      <c r="C97" s="226"/>
      <c r="D97" s="226"/>
      <c r="E97" s="226"/>
      <c r="F97" s="166"/>
      <c r="G97" s="241"/>
      <c r="H97" s="242"/>
      <c r="I97" s="157"/>
    </row>
    <row r="98" spans="1:9" ht="15.75">
      <c r="A98" s="164" t="s">
        <v>40</v>
      </c>
      <c r="B98" s="165">
        <f>DATE(17,7,1)</f>
        <v>6392</v>
      </c>
      <c r="C98" s="226">
        <v>226837676.51</v>
      </c>
      <c r="D98" s="226">
        <v>20250233.59</v>
      </c>
      <c r="E98" s="226">
        <v>20041496.31</v>
      </c>
      <c r="F98" s="166">
        <f>(+D98-E98)/E98</f>
        <v>0.010415254269006285</v>
      </c>
      <c r="G98" s="241">
        <f>D98/C98</f>
        <v>0.08927191417915657</v>
      </c>
      <c r="H98" s="242">
        <f>1-G98</f>
        <v>0.9107280858208434</v>
      </c>
      <c r="I98" s="157"/>
    </row>
    <row r="99" spans="1:9" ht="15.75">
      <c r="A99" s="164"/>
      <c r="B99" s="165">
        <f>DATE(17,8,1)</f>
        <v>6423</v>
      </c>
      <c r="C99" s="226">
        <v>203505092.13</v>
      </c>
      <c r="D99" s="226">
        <v>18649872.98</v>
      </c>
      <c r="E99" s="226">
        <v>18005684.83</v>
      </c>
      <c r="F99" s="166">
        <f>(+D99-E99)/E99</f>
        <v>0.03577693134596549</v>
      </c>
      <c r="G99" s="241">
        <f>D99/C99</f>
        <v>0.09164327430237655</v>
      </c>
      <c r="H99" s="242">
        <f>1-G99</f>
        <v>0.9083567256976235</v>
      </c>
      <c r="I99" s="157"/>
    </row>
    <row r="100" spans="1:9" ht="15.75">
      <c r="A100" s="164"/>
      <c r="B100" s="165">
        <f>DATE(17,9,1)</f>
        <v>6454</v>
      </c>
      <c r="C100" s="226">
        <v>207713230.86</v>
      </c>
      <c r="D100" s="226">
        <v>18449653.52</v>
      </c>
      <c r="E100" s="226">
        <v>18830129.89</v>
      </c>
      <c r="F100" s="166">
        <f>(+D100-E100)/E100</f>
        <v>-0.020205722011618105</v>
      </c>
      <c r="G100" s="241">
        <f>D100/C100</f>
        <v>0.08882271699117318</v>
      </c>
      <c r="H100" s="242">
        <f>1-G100</f>
        <v>0.9111772830088268</v>
      </c>
      <c r="I100" s="157"/>
    </row>
    <row r="101" spans="1:9" ht="15.75">
      <c r="A101" s="164"/>
      <c r="B101" s="165">
        <f>DATE(17,10,1)</f>
        <v>6484</v>
      </c>
      <c r="C101" s="226">
        <v>205445724.16</v>
      </c>
      <c r="D101" s="226">
        <v>17943427.35</v>
      </c>
      <c r="E101" s="226">
        <v>18755897.64</v>
      </c>
      <c r="F101" s="166">
        <f>(+D101-E101)/E101</f>
        <v>-0.04331812348278518</v>
      </c>
      <c r="G101" s="241">
        <f>D101/C101</f>
        <v>0.08733901580753153</v>
      </c>
      <c r="H101" s="242">
        <f>1-G101</f>
        <v>0.9126609841924684</v>
      </c>
      <c r="I101" s="157"/>
    </row>
    <row r="102" spans="1:9" ht="15.75">
      <c r="A102" s="164"/>
      <c r="B102" s="165">
        <f>DATE(17,11,1)</f>
        <v>6515</v>
      </c>
      <c r="C102" s="226">
        <v>202500755.18</v>
      </c>
      <c r="D102" s="226">
        <v>17723437.11</v>
      </c>
      <c r="E102" s="226">
        <v>17341075.18</v>
      </c>
      <c r="F102" s="166">
        <f>(+D102-E102)/E102</f>
        <v>0.022049493819217714</v>
      </c>
      <c r="G102" s="241">
        <f>D102/C102</f>
        <v>0.08752281982477493</v>
      </c>
      <c r="H102" s="242">
        <f>1-G102</f>
        <v>0.9124771801752251</v>
      </c>
      <c r="I102" s="157"/>
    </row>
    <row r="103" spans="1:9" ht="15.75" thickBot="1">
      <c r="A103" s="167"/>
      <c r="B103" s="168"/>
      <c r="C103" s="226"/>
      <c r="D103" s="226"/>
      <c r="E103" s="226"/>
      <c r="F103" s="166"/>
      <c r="G103" s="241"/>
      <c r="H103" s="242"/>
      <c r="I103" s="157"/>
    </row>
    <row r="104" spans="1:9" ht="17.25" thickBot="1" thickTop="1">
      <c r="A104" s="174" t="s">
        <v>14</v>
      </c>
      <c r="B104" s="175"/>
      <c r="C104" s="228">
        <f>SUM(C98:C103)</f>
        <v>1046002478.8399999</v>
      </c>
      <c r="D104" s="228">
        <f>SUM(D98:D103)</f>
        <v>93016624.55</v>
      </c>
      <c r="E104" s="228">
        <f>SUM(E98:E103)</f>
        <v>92974283.85</v>
      </c>
      <c r="F104" s="176">
        <f>(+D104-E104)/E104</f>
        <v>0.00045540227089367337</v>
      </c>
      <c r="G104" s="245">
        <f>D104/C104</f>
        <v>0.08892581655557255</v>
      </c>
      <c r="H104" s="246">
        <f>1-G104</f>
        <v>0.9110741834444275</v>
      </c>
      <c r="I104" s="157"/>
    </row>
    <row r="105" spans="1:9" ht="15.75" thickTop="1">
      <c r="A105" s="167"/>
      <c r="B105" s="168"/>
      <c r="C105" s="226"/>
      <c r="D105" s="226"/>
      <c r="E105" s="226"/>
      <c r="F105" s="166"/>
      <c r="G105" s="241"/>
      <c r="H105" s="242"/>
      <c r="I105" s="157"/>
    </row>
    <row r="106" spans="1:9" ht="15.75">
      <c r="A106" s="164" t="s">
        <v>64</v>
      </c>
      <c r="B106" s="165">
        <f>DATE(17,7,1)</f>
        <v>6392</v>
      </c>
      <c r="C106" s="226">
        <v>26722604.05</v>
      </c>
      <c r="D106" s="226">
        <v>3031134.15</v>
      </c>
      <c r="E106" s="226">
        <v>3216307.57</v>
      </c>
      <c r="F106" s="166">
        <f>(+D106-E106)/E106</f>
        <v>-0.057573293588958574</v>
      </c>
      <c r="G106" s="241">
        <f>D106/C106</f>
        <v>0.11342959482273958</v>
      </c>
      <c r="H106" s="242">
        <f>1-G106</f>
        <v>0.8865704051772604</v>
      </c>
      <c r="I106" s="157"/>
    </row>
    <row r="107" spans="1:9" ht="15.75">
      <c r="A107" s="164"/>
      <c r="B107" s="165">
        <f>DATE(17,8,1)</f>
        <v>6423</v>
      </c>
      <c r="C107" s="226">
        <v>27214005.58</v>
      </c>
      <c r="D107" s="226">
        <v>3021204.93</v>
      </c>
      <c r="E107" s="226">
        <v>3011271.54</v>
      </c>
      <c r="F107" s="166">
        <f>(+D107-E107)/E107</f>
        <v>0.003298736054869409</v>
      </c>
      <c r="G107" s="241">
        <f>D107/C107</f>
        <v>0.11101654701725833</v>
      </c>
      <c r="H107" s="242">
        <f>1-G107</f>
        <v>0.8889834529827416</v>
      </c>
      <c r="I107" s="157"/>
    </row>
    <row r="108" spans="1:9" ht="15.75">
      <c r="A108" s="164"/>
      <c r="B108" s="165">
        <f>DATE(17,9,1)</f>
        <v>6454</v>
      </c>
      <c r="C108" s="226">
        <v>29416618.56</v>
      </c>
      <c r="D108" s="226">
        <v>3254625.5</v>
      </c>
      <c r="E108" s="226">
        <v>2994225.71</v>
      </c>
      <c r="F108" s="166">
        <f>(+D108-E108)/E108</f>
        <v>0.08696732151164384</v>
      </c>
      <c r="G108" s="241">
        <f>D108/C108</f>
        <v>0.11063900812942384</v>
      </c>
      <c r="H108" s="242">
        <f>1-G108</f>
        <v>0.8893609918705762</v>
      </c>
      <c r="I108" s="157"/>
    </row>
    <row r="109" spans="1:9" ht="15.75">
      <c r="A109" s="164"/>
      <c r="B109" s="165">
        <f>DATE(17,10,1)</f>
        <v>6484</v>
      </c>
      <c r="C109" s="226">
        <v>28240080.8</v>
      </c>
      <c r="D109" s="226">
        <v>3125463.3</v>
      </c>
      <c r="E109" s="226">
        <v>2995512.05</v>
      </c>
      <c r="F109" s="166">
        <f>(+D109-E109)/E109</f>
        <v>0.043381982055455265</v>
      </c>
      <c r="G109" s="241">
        <f>D109/C109</f>
        <v>0.11067472937258734</v>
      </c>
      <c r="H109" s="242">
        <f>1-G109</f>
        <v>0.8893252706274126</v>
      </c>
      <c r="I109" s="157"/>
    </row>
    <row r="110" spans="1:9" ht="15.75">
      <c r="A110" s="164"/>
      <c r="B110" s="165">
        <f>DATE(17,11,1)</f>
        <v>6515</v>
      </c>
      <c r="C110" s="226">
        <v>28823289.36</v>
      </c>
      <c r="D110" s="226">
        <v>3210022.57</v>
      </c>
      <c r="E110" s="226">
        <v>2860580.01</v>
      </c>
      <c r="F110" s="166">
        <f>(+D110-E110)/E110</f>
        <v>0.12215793957114315</v>
      </c>
      <c r="G110" s="241">
        <f>D110/C110</f>
        <v>0.11136905749746807</v>
      </c>
      <c r="H110" s="242">
        <f>1-G110</f>
        <v>0.8886309425025319</v>
      </c>
      <c r="I110" s="157"/>
    </row>
    <row r="111" spans="1:9" ht="15.75" thickBot="1">
      <c r="A111" s="167"/>
      <c r="B111" s="168"/>
      <c r="C111" s="226"/>
      <c r="D111" s="226"/>
      <c r="E111" s="226"/>
      <c r="F111" s="166"/>
      <c r="G111" s="241"/>
      <c r="H111" s="242"/>
      <c r="I111" s="157"/>
    </row>
    <row r="112" spans="1:9" ht="17.25" thickBot="1" thickTop="1">
      <c r="A112" s="169" t="s">
        <v>14</v>
      </c>
      <c r="B112" s="155"/>
      <c r="C112" s="223">
        <f>SUM(C106:C111)</f>
        <v>140416598.35</v>
      </c>
      <c r="D112" s="223">
        <f>SUM(D106:D111)</f>
        <v>15642450.45</v>
      </c>
      <c r="E112" s="223">
        <f>SUM(E106:E111)</f>
        <v>15077896.88</v>
      </c>
      <c r="F112" s="176">
        <f>(+D112-E112)/E112</f>
        <v>0.03744246127249004</v>
      </c>
      <c r="G112" s="245">
        <f>D112/C112</f>
        <v>0.1114002947928556</v>
      </c>
      <c r="H112" s="246">
        <f>1-G112</f>
        <v>0.8885997052071444</v>
      </c>
      <c r="I112" s="157"/>
    </row>
    <row r="113" spans="1:9" ht="16.5" thickBot="1" thickTop="1">
      <c r="A113" s="171"/>
      <c r="B113" s="172"/>
      <c r="C113" s="227"/>
      <c r="D113" s="227"/>
      <c r="E113" s="227"/>
      <c r="F113" s="173"/>
      <c r="G113" s="243"/>
      <c r="H113" s="244"/>
      <c r="I113" s="157"/>
    </row>
    <row r="114" spans="1:9" ht="17.25" thickBot="1" thickTop="1">
      <c r="A114" s="184" t="s">
        <v>41</v>
      </c>
      <c r="B114" s="155"/>
      <c r="C114" s="223">
        <f>C112+C104+C80+C64+C48+C32+C16+C40+C96+C24+C72+C88+C56</f>
        <v>6418003618.54</v>
      </c>
      <c r="D114" s="223">
        <f>D112+D104+D80+D64+D48+D32+D16+D40+D96+D24+D72+D88+D56</f>
        <v>613458185.3600001</v>
      </c>
      <c r="E114" s="223">
        <f>E112+E104+E80+E64+E48+E32+E16+E40+E96+E24+E72+E88+E56</f>
        <v>607179663.61</v>
      </c>
      <c r="F114" s="170">
        <f>(+D114-E114)/E114</f>
        <v>0.010340467782914583</v>
      </c>
      <c r="G114" s="236">
        <f>D114/C114</f>
        <v>0.09558395753905055</v>
      </c>
      <c r="H114" s="237">
        <f>1-G114</f>
        <v>0.9044160424609494</v>
      </c>
      <c r="I114" s="157"/>
    </row>
    <row r="115" spans="1:9" ht="17.25" thickBot="1" thickTop="1">
      <c r="A115" s="184"/>
      <c r="B115" s="155"/>
      <c r="C115" s="223"/>
      <c r="D115" s="223"/>
      <c r="E115" s="223"/>
      <c r="F115" s="170"/>
      <c r="G115" s="236"/>
      <c r="H115" s="237"/>
      <c r="I115" s="157"/>
    </row>
    <row r="116" spans="1:9" ht="17.25" thickBot="1" thickTop="1">
      <c r="A116" s="184" t="s">
        <v>42</v>
      </c>
      <c r="B116" s="155"/>
      <c r="C116" s="223">
        <f>+C14+C22+C30+C38+C46+C54+C62+C70+C78+C86+C94+C102+C110</f>
        <v>1222979024.87</v>
      </c>
      <c r="D116" s="223">
        <f>+D14+D22+D30+D38+D46+D54+D62+D70+D78+D86+D94+D102+D110</f>
        <v>117049657.88</v>
      </c>
      <c r="E116" s="223">
        <f>+E14+E22+E30+E38+E46+E54+E62+E70+E78+E86+E94+E102+E110</f>
        <v>114331944.77000003</v>
      </c>
      <c r="F116" s="170">
        <f>(+D116-E116)/E116</f>
        <v>0.023770374198279886</v>
      </c>
      <c r="G116" s="236">
        <f>D116/C116</f>
        <v>0.09570863890526833</v>
      </c>
      <c r="H116" s="246">
        <f>1-G116</f>
        <v>0.9042913610947316</v>
      </c>
      <c r="I116" s="157"/>
    </row>
    <row r="117" spans="1:9" ht="16.5" thickTop="1">
      <c r="A117" s="185"/>
      <c r="B117" s="186"/>
      <c r="C117" s="231"/>
      <c r="D117" s="231"/>
      <c r="E117" s="231"/>
      <c r="F117" s="187"/>
      <c r="G117" s="250"/>
      <c r="H117" s="250"/>
      <c r="I117" s="151"/>
    </row>
    <row r="118" spans="1:9" ht="16.5" customHeight="1">
      <c r="A118" s="188" t="s">
        <v>52</v>
      </c>
      <c r="B118" s="189"/>
      <c r="C118" s="232"/>
      <c r="D118" s="232"/>
      <c r="E118" s="232"/>
      <c r="F118" s="190"/>
      <c r="G118" s="251"/>
      <c r="H118" s="251"/>
      <c r="I118" s="151"/>
    </row>
    <row r="119" spans="1:9" ht="15.75">
      <c r="A119" s="191"/>
      <c r="B119" s="189"/>
      <c r="C119" s="232"/>
      <c r="D119" s="232"/>
      <c r="E119" s="232"/>
      <c r="F119" s="190"/>
      <c r="G119" s="257"/>
      <c r="H119" s="257"/>
      <c r="I119" s="151"/>
    </row>
    <row r="120" spans="1:9" ht="15.75">
      <c r="A120" s="72"/>
      <c r="I120" s="151"/>
    </row>
  </sheetData>
  <sheetProtection/>
  <printOptions horizontalCentered="1"/>
  <pageMargins left="0.75" right="0.25" top="0.3194" bottom="0.2" header="0.5" footer="0.5"/>
  <pageSetup horizontalDpi="600" verticalDpi="600" orientation="landscape" scale="66" r:id="rId1"/>
  <rowBreaks count="2" manualBreakCount="2">
    <brk id="48" max="8" man="1"/>
    <brk id="8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Bruns</dc:creator>
  <cp:keywords/>
  <dc:description/>
  <cp:lastModifiedBy>webteam-prod</cp:lastModifiedBy>
  <cp:lastPrinted>2017-12-07T14:43:18Z</cp:lastPrinted>
  <dcterms:created xsi:type="dcterms:W3CDTF">2003-09-09T14:41:43Z</dcterms:created>
  <dcterms:modified xsi:type="dcterms:W3CDTF">2017-12-07T20:23:03Z</dcterms:modified>
  <cp:category/>
  <cp:version/>
  <cp:contentType/>
  <cp:contentStatus/>
</cp:coreProperties>
</file>