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STATS'!$A$1:$M$195</definedName>
    <definedName name="_xlnm.Print_Area" localSheetId="3">'SLOT STATS'!$A$1:$I$196</definedName>
    <definedName name="_xlnm.Print_Area" localSheetId="2">'TABLE STATS'!$A$1:$H$195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<sst xmlns="http://schemas.openxmlformats.org/spreadsheetml/2006/main" count="192" uniqueCount="75">
  <si>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</si>
  <si>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</si>
  <si>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</si>
  <si>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</si>
  <si>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</si>
  <si>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</si>
  <si>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</si>
  <si>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</si>
  <si>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</si>
  <si>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</si>
  <si>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</si>
  <si>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</si>
  <si>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</si>
  <si>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</si>
  <si>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</si>
  <si>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</si>
  <si>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</si>
  <si>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</si>
  <si>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</si>
  <si>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</si>
  <si>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</si>
  <si>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</si>
  <si>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</si>
  <si>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</si>
  <si>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</si>
  <si>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</si>
  <si>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</si>
  <si>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</si>
  <si>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</si>
  <si>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</si>
  <si>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</si>
  <si>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</si>
  <si>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</si>
  <si>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</si>
  <si>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</si>
  <si>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</si>
  <si>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</si>
  <si>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</si>
  <si>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</si>
  <si>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</si>
  <si>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</si>
  <si>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</si>
  <si>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</si>
  <si>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</si>
  <si>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</si>
  <si>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</si>
  <si>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</si>
  <si>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</si>
  <si>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</si>
  <si>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</si>
  <si>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</si>
  <si>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</si>
  <si>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</si>
  <si>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</si>
  <si>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</si>
  <si>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</si>
  <si>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</si>
  <si>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</si>
  <si>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</si>
  <si>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</si>
  <si>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</si>
  <si>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</si>
  <si>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</si>
  <si>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</si>
  <si>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</si>
  <si>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</si>
  <si>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</si>
  <si>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</si>
  <si>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2018 YTD ADMISSIONS, PATRONS AND AGR SUMMARY </t>
  </si>
  <si>
    <t>MONTH ENDED:   MAY 31, 2018</t>
  </si>
  <si>
    <t>(as reported on the tax remittal database dtd 6/7/18)</t>
  </si>
  <si>
    <t>FOR THE MONTH ENDED:   MAY 31, 2018</t>
  </si>
  <si>
    <t>THRU MONTH ENDED:   MAY 31, 2018</t>
  </si>
  <si>
    <t>(as reported on the tax remittal database as of 6/7/18)</t>
  </si>
  <si>
    <t>THRU MONTH ENDED:     MAY 31,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</si>
</sst>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0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3" fontId="0" fillId="0" borderId="14" xfId="54" applyNumberFormat="1" applyFont="1" applyBorder="1" applyAlignment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5"/>
  <sheetViews>
    <sheetView tabSelected="1" showOutlineSymbols="0" workbookViewId="0" topLeftCell="A1">
      <selection activeCell="B9" sqref="B9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DATE(2017,7,1)</f>
        <v>42917</v>
      </c>
      <c r="C9" s="21">
        <v>295047</v>
      </c>
      <c r="D9" s="22">
        <v>315719</v>
      </c>
      <c r="E9" s="23">
        <f aca="true" t="shared" si="0" ref="E9:E19">(+C9-D9)/D9</f>
        <v>-0.06547594538181103</v>
      </c>
      <c r="F9" s="21">
        <f>+C9-138811</f>
        <v>156236</v>
      </c>
      <c r="G9" s="21">
        <f>+D9-154398</f>
        <v>161321</v>
      </c>
      <c r="H9" s="23">
        <f aca="true" t="shared" si="1" ref="H9:H19">(+F9-G9)/G9</f>
        <v>-0.031521004704905126</v>
      </c>
      <c r="I9" s="24">
        <f aca="true" t="shared" si="2" ref="I9:I19">K9/C9</f>
        <v>47.93787274569814</v>
      </c>
      <c r="J9" s="24">
        <f aca="true" t="shared" si="3" ref="J9:J19">K9/F9</f>
        <v>90.52923487544483</v>
      </c>
      <c r="K9" s="21">
        <v>14143925.54</v>
      </c>
      <c r="L9" s="21">
        <v>13957245.75</v>
      </c>
      <c r="M9" s="25">
        <f aca="true" t="shared" si="4" ref="M9:M19">(+K9-L9)/L9</f>
        <v>0.013375116648641019</v>
      </c>
      <c r="N9" s="10"/>
      <c r="R9" s="2"/>
    </row>
    <row r="10" spans="1:18" ht="15.75">
      <c r="A10" s="19"/>
      <c r="B10" s="20">
        <f>DATE(2017,8,1)</f>
        <v>42948</v>
      </c>
      <c r="C10" s="21">
        <v>268688</v>
      </c>
      <c r="D10" s="22">
        <v>269746</v>
      </c>
      <c r="E10" s="23">
        <f t="shared" si="0"/>
        <v>-0.00392220829965968</v>
      </c>
      <c r="F10" s="21">
        <f>+C10-125473</f>
        <v>143215</v>
      </c>
      <c r="G10" s="21">
        <f>+D10-128416</f>
        <v>141330</v>
      </c>
      <c r="H10" s="23">
        <f t="shared" si="1"/>
        <v>0.013337578716479162</v>
      </c>
      <c r="I10" s="24">
        <f t="shared" si="2"/>
        <v>48.38335742571309</v>
      </c>
      <c r="J10" s="24">
        <f t="shared" si="3"/>
        <v>90.7728068987187</v>
      </c>
      <c r="K10" s="21">
        <v>13000027.54</v>
      </c>
      <c r="L10" s="21">
        <v>12325415.85</v>
      </c>
      <c r="M10" s="25">
        <f t="shared" si="4"/>
        <v>0.05473338167328443</v>
      </c>
      <c r="N10" s="10"/>
      <c r="R10" s="2"/>
    </row>
    <row r="11" spans="1:18" ht="15.75">
      <c r="A11" s="19"/>
      <c r="B11" s="20">
        <f>DATE(2017,9,1)</f>
        <v>42979</v>
      </c>
      <c r="C11" s="21">
        <v>281634</v>
      </c>
      <c r="D11" s="22">
        <v>275432</v>
      </c>
      <c r="E11" s="23">
        <f t="shared" si="0"/>
        <v>0.02251735455575242</v>
      </c>
      <c r="F11" s="21">
        <f>+C11-134666</f>
        <v>146968</v>
      </c>
      <c r="G11" s="21">
        <f>+D11-130069</f>
        <v>145363</v>
      </c>
      <c r="H11" s="23">
        <f t="shared" si="1"/>
        <v>0.011041324133376444</v>
      </c>
      <c r="I11" s="24">
        <f t="shared" si="2"/>
        <v>48.208551133740954</v>
      </c>
      <c r="J11" s="24">
        <f t="shared" si="3"/>
        <v>92.38179120624898</v>
      </c>
      <c r="K11" s="21">
        <v>13577167.09</v>
      </c>
      <c r="L11" s="21">
        <v>12483472.22</v>
      </c>
      <c r="M11" s="25">
        <f t="shared" si="4"/>
        <v>0.08761143139708923</v>
      </c>
      <c r="N11" s="10"/>
      <c r="R11" s="2"/>
    </row>
    <row r="12" spans="1:18" ht="15.75">
      <c r="A12" s="19"/>
      <c r="B12" s="20">
        <f>DATE(2017,10,1)</f>
        <v>43009</v>
      </c>
      <c r="C12" s="21">
        <v>266701</v>
      </c>
      <c r="D12" s="22">
        <v>279310</v>
      </c>
      <c r="E12" s="23">
        <f t="shared" si="0"/>
        <v>-0.04514338906591243</v>
      </c>
      <c r="F12" s="21">
        <f>+C12-124344</f>
        <v>142357</v>
      </c>
      <c r="G12" s="21">
        <f>+D12-132516</f>
        <v>146794</v>
      </c>
      <c r="H12" s="23">
        <f t="shared" si="1"/>
        <v>-0.030226031036690873</v>
      </c>
      <c r="I12" s="24">
        <f t="shared" si="2"/>
        <v>49.531491033029496</v>
      </c>
      <c r="J12" s="24">
        <f t="shared" si="3"/>
        <v>92.79556460167045</v>
      </c>
      <c r="K12" s="21">
        <v>13210098.19</v>
      </c>
      <c r="L12" s="21">
        <v>12897991.17</v>
      </c>
      <c r="M12" s="25">
        <f t="shared" si="4"/>
        <v>0.024198110844264095</v>
      </c>
      <c r="N12" s="10"/>
      <c r="R12" s="2"/>
    </row>
    <row r="13" spans="1:18" ht="15.75">
      <c r="A13" s="19"/>
      <c r="B13" s="20">
        <f>DATE(2017,11,1)</f>
        <v>43040</v>
      </c>
      <c r="C13" s="21">
        <v>271175</v>
      </c>
      <c r="D13" s="22">
        <v>261597</v>
      </c>
      <c r="E13" s="23">
        <f t="shared" si="0"/>
        <v>0.03661356972748159</v>
      </c>
      <c r="F13" s="21">
        <f>+C13-126340</f>
        <v>144835</v>
      </c>
      <c r="G13" s="21">
        <f>+D13-124698</f>
        <v>136899</v>
      </c>
      <c r="H13" s="23">
        <f t="shared" si="1"/>
        <v>0.05796974411792635</v>
      </c>
      <c r="I13" s="24">
        <f t="shared" si="2"/>
        <v>52.1944138287084</v>
      </c>
      <c r="J13" s="24">
        <f t="shared" si="3"/>
        <v>97.7237557910726</v>
      </c>
      <c r="K13" s="21">
        <v>14153820.17</v>
      </c>
      <c r="L13" s="21">
        <v>12213621.49</v>
      </c>
      <c r="M13" s="25">
        <f t="shared" si="4"/>
        <v>0.15885531425618132</v>
      </c>
      <c r="N13" s="10"/>
      <c r="R13" s="2"/>
    </row>
    <row r="14" spans="1:18" ht="15.75">
      <c r="A14" s="19"/>
      <c r="B14" s="20">
        <f>DATE(2017,12,1)</f>
        <v>43070</v>
      </c>
      <c r="C14" s="21">
        <v>285888</v>
      </c>
      <c r="D14" s="22">
        <v>277351</v>
      </c>
      <c r="E14" s="23">
        <f t="shared" si="0"/>
        <v>0.030780491146597633</v>
      </c>
      <c r="F14" s="21">
        <f>+C14-135160</f>
        <v>150728</v>
      </c>
      <c r="G14" s="21">
        <f>+D14-134196</f>
        <v>143155</v>
      </c>
      <c r="H14" s="23">
        <f t="shared" si="1"/>
        <v>0.05290070203625441</v>
      </c>
      <c r="I14" s="24">
        <f t="shared" si="2"/>
        <v>50.44767937094247</v>
      </c>
      <c r="J14" s="24">
        <f t="shared" si="3"/>
        <v>95.68485059179449</v>
      </c>
      <c r="K14" s="21">
        <v>14422386.16</v>
      </c>
      <c r="L14" s="21">
        <v>12512412.08</v>
      </c>
      <c r="M14" s="25">
        <f t="shared" si="4"/>
        <v>0.1526463536996937</v>
      </c>
      <c r="N14" s="10"/>
      <c r="R14" s="2"/>
    </row>
    <row r="15" spans="1:18" ht="15.75">
      <c r="A15" s="19"/>
      <c r="B15" s="20">
        <f>DATE(2018,1,1)</f>
        <v>43101</v>
      </c>
      <c r="C15" s="21">
        <v>251374</v>
      </c>
      <c r="D15" s="22">
        <v>259670</v>
      </c>
      <c r="E15" s="23">
        <f t="shared" si="0"/>
        <v>-0.03194824199946086</v>
      </c>
      <c r="F15" s="21">
        <f>+C15-118404</f>
        <v>132970</v>
      </c>
      <c r="G15" s="21">
        <f>+D15-125404</f>
        <v>134266</v>
      </c>
      <c r="H15" s="23">
        <f t="shared" si="1"/>
        <v>-0.00965248089613156</v>
      </c>
      <c r="I15" s="24">
        <f t="shared" si="2"/>
        <v>50.08009129822495</v>
      </c>
      <c r="J15" s="24">
        <f t="shared" si="3"/>
        <v>94.67423381213807</v>
      </c>
      <c r="K15" s="21">
        <v>12588832.87</v>
      </c>
      <c r="L15" s="21">
        <v>12255360.64</v>
      </c>
      <c r="M15" s="25">
        <f t="shared" si="4"/>
        <v>0.02721031553421496</v>
      </c>
      <c r="N15" s="10"/>
      <c r="R15" s="2"/>
    </row>
    <row r="16" spans="1:18" ht="15.75">
      <c r="A16" s="19"/>
      <c r="B16" s="20">
        <f>DATE(2018,2,1)</f>
        <v>43132</v>
      </c>
      <c r="C16" s="21">
        <v>260428</v>
      </c>
      <c r="D16" s="22">
        <v>270239</v>
      </c>
      <c r="E16" s="23">
        <f t="shared" si="0"/>
        <v>-0.03630490047698519</v>
      </c>
      <c r="F16" s="21">
        <f>+C16-124324</f>
        <v>136104</v>
      </c>
      <c r="G16" s="21">
        <f>+D16-129174</f>
        <v>141065</v>
      </c>
      <c r="H16" s="23">
        <f t="shared" si="1"/>
        <v>-0.035168184879310956</v>
      </c>
      <c r="I16" s="24">
        <f t="shared" si="2"/>
        <v>52.97598852657932</v>
      </c>
      <c r="J16" s="24">
        <f t="shared" si="3"/>
        <v>101.36682786692529</v>
      </c>
      <c r="K16" s="21">
        <v>13796430.74</v>
      </c>
      <c r="L16" s="21">
        <v>12684888.04</v>
      </c>
      <c r="M16" s="25">
        <f t="shared" si="4"/>
        <v>0.08762731657503862</v>
      </c>
      <c r="N16" s="10"/>
      <c r="R16" s="2"/>
    </row>
    <row r="17" spans="1:18" ht="15.75">
      <c r="A17" s="19"/>
      <c r="B17" s="20">
        <f>DATE(2018,3,1)</f>
        <v>43160</v>
      </c>
      <c r="C17" s="21">
        <v>299040</v>
      </c>
      <c r="D17" s="22">
        <v>296140</v>
      </c>
      <c r="E17" s="23">
        <f t="shared" si="0"/>
        <v>0.009792665631120415</v>
      </c>
      <c r="F17" s="21">
        <f>+C17-144322</f>
        <v>154718</v>
      </c>
      <c r="G17" s="21">
        <f>+D17-144096</f>
        <v>152044</v>
      </c>
      <c r="H17" s="23">
        <f t="shared" si="1"/>
        <v>0.017587014285338456</v>
      </c>
      <c r="I17" s="24">
        <f t="shared" si="2"/>
        <v>51.70376969636169</v>
      </c>
      <c r="J17" s="24">
        <f t="shared" si="3"/>
        <v>99.93339682519164</v>
      </c>
      <c r="K17" s="21">
        <v>15461495.29</v>
      </c>
      <c r="L17" s="21">
        <v>14573071.87</v>
      </c>
      <c r="M17" s="25">
        <f t="shared" si="4"/>
        <v>0.06096335953910313</v>
      </c>
      <c r="N17" s="10"/>
      <c r="R17" s="2"/>
    </row>
    <row r="18" spans="1:18" ht="15.75">
      <c r="A18" s="19"/>
      <c r="B18" s="20">
        <f>DATE(2018,4,1)</f>
        <v>43191</v>
      </c>
      <c r="C18" s="21">
        <v>263459</v>
      </c>
      <c r="D18" s="22">
        <v>276632</v>
      </c>
      <c r="E18" s="23">
        <f t="shared" si="0"/>
        <v>-0.04761921975765638</v>
      </c>
      <c r="F18" s="21">
        <f>+C18-124817</f>
        <v>138642</v>
      </c>
      <c r="G18" s="21">
        <f>+D18-132661</f>
        <v>143971</v>
      </c>
      <c r="H18" s="23">
        <f t="shared" si="1"/>
        <v>-0.03701439873307819</v>
      </c>
      <c r="I18" s="24">
        <f t="shared" si="2"/>
        <v>52.41221036290276</v>
      </c>
      <c r="J18" s="24">
        <f t="shared" si="3"/>
        <v>99.59801885431543</v>
      </c>
      <c r="K18" s="21">
        <v>13808468.53</v>
      </c>
      <c r="L18" s="21">
        <v>13662162.44</v>
      </c>
      <c r="M18" s="25">
        <f t="shared" si="4"/>
        <v>0.010708853056207685</v>
      </c>
      <c r="N18" s="10"/>
      <c r="R18" s="2"/>
    </row>
    <row r="19" spans="1:18" ht="15.75">
      <c r="A19" s="19"/>
      <c r="B19" s="20">
        <f>DATE(2018,5,1)</f>
        <v>43221</v>
      </c>
      <c r="C19" s="21">
        <v>269584</v>
      </c>
      <c r="D19" s="22">
        <v>283088</v>
      </c>
      <c r="E19" s="23">
        <f t="shared" si="0"/>
        <v>-0.047702481207257105</v>
      </c>
      <c r="F19" s="21">
        <f>+C19-126735</f>
        <v>142849</v>
      </c>
      <c r="G19" s="21">
        <f>+D19-132021</f>
        <v>151067</v>
      </c>
      <c r="H19" s="23">
        <f t="shared" si="1"/>
        <v>-0.05439970344284324</v>
      </c>
      <c r="I19" s="24">
        <f t="shared" si="2"/>
        <v>50.41130285922013</v>
      </c>
      <c r="J19" s="24">
        <f t="shared" si="3"/>
        <v>95.13598744128416</v>
      </c>
      <c r="K19" s="21">
        <v>13590080.67</v>
      </c>
      <c r="L19" s="21">
        <v>13529389.48</v>
      </c>
      <c r="M19" s="25">
        <f t="shared" si="4"/>
        <v>0.004485877954043457</v>
      </c>
      <c r="N19" s="10"/>
      <c r="R19" s="2"/>
    </row>
    <row r="20" spans="1:18" ht="15.75" customHeight="1" thickBot="1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7.25" thickBot="1" thickTop="1">
      <c r="A21" s="26" t="s">
        <v>14</v>
      </c>
      <c r="B21" s="27"/>
      <c r="C21" s="28">
        <f>SUM(C9:C20)</f>
        <v>3013018</v>
      </c>
      <c r="D21" s="28">
        <f>SUM(D9:D20)</f>
        <v>3064924</v>
      </c>
      <c r="E21" s="279">
        <f>(+C21-D21)/D21</f>
        <v>-0.01693549334339122</v>
      </c>
      <c r="F21" s="28">
        <f>SUM(F9:F20)</f>
        <v>1589622</v>
      </c>
      <c r="G21" s="28">
        <f>SUM(G9:G20)</f>
        <v>1597275</v>
      </c>
      <c r="H21" s="30">
        <f>(+F21-G21)/G21</f>
        <v>-0.004791285157533925</v>
      </c>
      <c r="I21" s="31">
        <f>K21/C21</f>
        <v>50.36569074263745</v>
      </c>
      <c r="J21" s="31">
        <f>K21/F21</f>
        <v>95.4646656815268</v>
      </c>
      <c r="K21" s="28">
        <f>SUM(K9:K20)</f>
        <v>151752732.79</v>
      </c>
      <c r="L21" s="28">
        <f>SUM(L9:L20)</f>
        <v>143095031.03</v>
      </c>
      <c r="M21" s="32">
        <f>(+K21-L21)/L21</f>
        <v>0.06050316141435334</v>
      </c>
      <c r="N21" s="10"/>
      <c r="R21" s="2"/>
    </row>
    <row r="22" spans="1:18" ht="15.75" customHeight="1" thickTop="1">
      <c r="A22" s="15"/>
      <c r="B22" s="16"/>
      <c r="C22" s="16"/>
      <c r="D22" s="16"/>
      <c r="E22" s="17"/>
      <c r="F22" s="16"/>
      <c r="G22" s="16"/>
      <c r="H22" s="17"/>
      <c r="I22" s="16"/>
      <c r="J22" s="16"/>
      <c r="K22" s="195"/>
      <c r="L22" s="195"/>
      <c r="M22" s="18"/>
      <c r="N22" s="10"/>
      <c r="R22" s="2"/>
    </row>
    <row r="23" spans="1:18" ht="15.75">
      <c r="A23" s="19" t="s">
        <v>15</v>
      </c>
      <c r="B23" s="20">
        <f>DATE(2017,7,1)</f>
        <v>42917</v>
      </c>
      <c r="C23" s="21">
        <v>154485</v>
      </c>
      <c r="D23" s="21">
        <v>168156</v>
      </c>
      <c r="E23" s="23">
        <f aca="true" t="shared" si="5" ref="E23:E33">(+C23-D23)/D23</f>
        <v>-0.08129950760008564</v>
      </c>
      <c r="F23" s="21">
        <f>+C23-74453</f>
        <v>80032</v>
      </c>
      <c r="G23" s="21">
        <f>+D23-80472</f>
        <v>87684</v>
      </c>
      <c r="H23" s="23">
        <f aca="true" t="shared" si="6" ref="H23:H33">(+F23-G23)/G23</f>
        <v>-0.08726791660964373</v>
      </c>
      <c r="I23" s="24">
        <f aca="true" t="shared" si="7" ref="I23:I33">K23/C23</f>
        <v>48.24474518561673</v>
      </c>
      <c r="J23" s="24">
        <f aca="true" t="shared" si="8" ref="J23:J33">K23/F23</f>
        <v>93.12636770291883</v>
      </c>
      <c r="K23" s="21">
        <v>7453089.46</v>
      </c>
      <c r="L23" s="21">
        <v>7571219.54</v>
      </c>
      <c r="M23" s="25">
        <f aca="true" t="shared" si="9" ref="M23:M33">(+K23-L23)/L23</f>
        <v>-0.015602516790841871</v>
      </c>
      <c r="N23" s="10"/>
      <c r="R23" s="2"/>
    </row>
    <row r="24" spans="1:18" ht="15.75">
      <c r="A24" s="19"/>
      <c r="B24" s="20">
        <f>DATE(2017,8,1)</f>
        <v>42948</v>
      </c>
      <c r="C24" s="21">
        <v>146885</v>
      </c>
      <c r="D24" s="21">
        <v>156736</v>
      </c>
      <c r="E24" s="23">
        <f t="shared" si="5"/>
        <v>-0.06285090853409554</v>
      </c>
      <c r="F24" s="21">
        <f>+C24-69501</f>
        <v>77384</v>
      </c>
      <c r="G24" s="21">
        <f>+D24-73885</f>
        <v>82851</v>
      </c>
      <c r="H24" s="23">
        <f t="shared" si="6"/>
        <v>-0.0659859265428299</v>
      </c>
      <c r="I24" s="24">
        <f t="shared" si="7"/>
        <v>46.88712468938285</v>
      </c>
      <c r="J24" s="24">
        <f t="shared" si="8"/>
        <v>88.99792347255246</v>
      </c>
      <c r="K24" s="21">
        <v>6887015.31</v>
      </c>
      <c r="L24" s="21">
        <v>6873490.36</v>
      </c>
      <c r="M24" s="25">
        <f t="shared" si="9"/>
        <v>0.0019676975294396506</v>
      </c>
      <c r="N24" s="10"/>
      <c r="R24" s="2"/>
    </row>
    <row r="25" spans="1:18" ht="15.75">
      <c r="A25" s="19"/>
      <c r="B25" s="20">
        <f>DATE(2017,9,1)</f>
        <v>42979</v>
      </c>
      <c r="C25" s="21">
        <v>147791</v>
      </c>
      <c r="D25" s="21">
        <v>155294</v>
      </c>
      <c r="E25" s="23">
        <f t="shared" si="5"/>
        <v>-0.04831480932940101</v>
      </c>
      <c r="F25" s="21">
        <f>+C25-70004</f>
        <v>77787</v>
      </c>
      <c r="G25" s="21">
        <f>+D25-73977</f>
        <v>81317</v>
      </c>
      <c r="H25" s="23">
        <f t="shared" si="6"/>
        <v>-0.043410356997921715</v>
      </c>
      <c r="I25" s="24">
        <f t="shared" si="7"/>
        <v>45.22004107151315</v>
      </c>
      <c r="J25" s="24">
        <f t="shared" si="8"/>
        <v>85.91557831000038</v>
      </c>
      <c r="K25" s="21">
        <v>6683115.09</v>
      </c>
      <c r="L25" s="21">
        <v>6937402.96</v>
      </c>
      <c r="M25" s="25">
        <f t="shared" si="9"/>
        <v>-0.036654620102967196</v>
      </c>
      <c r="N25" s="10"/>
      <c r="R25" s="2"/>
    </row>
    <row r="26" spans="1:18" ht="15.75">
      <c r="A26" s="19"/>
      <c r="B26" s="20">
        <f>DATE(2017,10,1)</f>
        <v>43009</v>
      </c>
      <c r="C26" s="21">
        <v>137700</v>
      </c>
      <c r="D26" s="21">
        <v>146527</v>
      </c>
      <c r="E26" s="23">
        <f t="shared" si="5"/>
        <v>-0.0602414572058392</v>
      </c>
      <c r="F26" s="21">
        <f>+C26-65646</f>
        <v>72054</v>
      </c>
      <c r="G26" s="21">
        <f>+D26-70123</f>
        <v>76404</v>
      </c>
      <c r="H26" s="23">
        <f t="shared" si="6"/>
        <v>-0.056934191927124234</v>
      </c>
      <c r="I26" s="24">
        <f t="shared" si="7"/>
        <v>45.38843761801017</v>
      </c>
      <c r="J26" s="24">
        <f t="shared" si="8"/>
        <v>86.7403316956727</v>
      </c>
      <c r="K26" s="21">
        <v>6249987.86</v>
      </c>
      <c r="L26" s="21">
        <v>6669801.07</v>
      </c>
      <c r="M26" s="25">
        <f t="shared" si="9"/>
        <v>-0.06294238847516331</v>
      </c>
      <c r="N26" s="10"/>
      <c r="R26" s="2"/>
    </row>
    <row r="27" spans="1:18" ht="15.75">
      <c r="A27" s="19"/>
      <c r="B27" s="20">
        <f>DATE(2017,11,1)</f>
        <v>43040</v>
      </c>
      <c r="C27" s="21">
        <v>128271</v>
      </c>
      <c r="D27" s="21">
        <v>141058</v>
      </c>
      <c r="E27" s="23">
        <f t="shared" si="5"/>
        <v>-0.09065065434076763</v>
      </c>
      <c r="F27" s="21">
        <f>+C27-61249</f>
        <v>67022</v>
      </c>
      <c r="G27" s="21">
        <f>+D27-67043</f>
        <v>74015</v>
      </c>
      <c r="H27" s="23">
        <f t="shared" si="6"/>
        <v>-0.09448084847666013</v>
      </c>
      <c r="I27" s="24">
        <f t="shared" si="7"/>
        <v>48.31553001068051</v>
      </c>
      <c r="J27" s="24">
        <f t="shared" si="8"/>
        <v>92.46935856882814</v>
      </c>
      <c r="K27" s="21">
        <v>6197481.35</v>
      </c>
      <c r="L27" s="21">
        <v>6463132.7</v>
      </c>
      <c r="M27" s="25">
        <f t="shared" si="9"/>
        <v>-0.04110256779966789</v>
      </c>
      <c r="N27" s="10"/>
      <c r="R27" s="2"/>
    </row>
    <row r="28" spans="1:18" ht="15.75">
      <c r="A28" s="19"/>
      <c r="B28" s="20">
        <f>DATE(2017,12,1)</f>
        <v>43070</v>
      </c>
      <c r="C28" s="21">
        <v>135202</v>
      </c>
      <c r="D28" s="21">
        <v>135128</v>
      </c>
      <c r="E28" s="23">
        <f t="shared" si="5"/>
        <v>0.0005476289148067018</v>
      </c>
      <c r="F28" s="21">
        <f>+C28-65090</f>
        <v>70112</v>
      </c>
      <c r="G28" s="21">
        <f>+D28-64946</f>
        <v>70182</v>
      </c>
      <c r="H28" s="23">
        <f t="shared" si="6"/>
        <v>-0.000997406742469579</v>
      </c>
      <c r="I28" s="24">
        <f t="shared" si="7"/>
        <v>48.52504741054126</v>
      </c>
      <c r="J28" s="24">
        <f t="shared" si="8"/>
        <v>93.57433049977179</v>
      </c>
      <c r="K28" s="21">
        <v>6560683.46</v>
      </c>
      <c r="L28" s="21">
        <v>6130475.36</v>
      </c>
      <c r="M28" s="25">
        <f t="shared" si="9"/>
        <v>0.07017532487072904</v>
      </c>
      <c r="N28" s="10"/>
      <c r="R28" s="2"/>
    </row>
    <row r="29" spans="1:18" ht="15.75">
      <c r="A29" s="19"/>
      <c r="B29" s="20">
        <f>DATE(2018,1,1)</f>
        <v>43101</v>
      </c>
      <c r="C29" s="21">
        <v>122998</v>
      </c>
      <c r="D29" s="21">
        <v>131548</v>
      </c>
      <c r="E29" s="23">
        <f t="shared" si="5"/>
        <v>-0.06499528689147688</v>
      </c>
      <c r="F29" s="21">
        <f>+C29-59574</f>
        <v>63424</v>
      </c>
      <c r="G29" s="21">
        <f>+D29-62907</f>
        <v>68641</v>
      </c>
      <c r="H29" s="23">
        <f t="shared" si="6"/>
        <v>-0.07600413746885971</v>
      </c>
      <c r="I29" s="24">
        <f t="shared" si="7"/>
        <v>49.07755662693702</v>
      </c>
      <c r="J29" s="24">
        <f t="shared" si="8"/>
        <v>95.17597928229061</v>
      </c>
      <c r="K29" s="21">
        <v>6036441.31</v>
      </c>
      <c r="L29" s="21">
        <v>6010945.81</v>
      </c>
      <c r="M29" s="25">
        <f t="shared" si="9"/>
        <v>0.004241512202220302</v>
      </c>
      <c r="N29" s="10"/>
      <c r="R29" s="2"/>
    </row>
    <row r="30" spans="1:18" ht="15.75">
      <c r="A30" s="19"/>
      <c r="B30" s="20">
        <f>DATE(2018,2,1)</f>
        <v>43132</v>
      </c>
      <c r="C30" s="21">
        <v>129346</v>
      </c>
      <c r="D30" s="21">
        <v>143794</v>
      </c>
      <c r="E30" s="23">
        <f t="shared" si="5"/>
        <v>-0.10047707136598188</v>
      </c>
      <c r="F30" s="21">
        <f>+C30-62566</f>
        <v>66780</v>
      </c>
      <c r="G30" s="21">
        <f>+D30-69424</f>
        <v>74370</v>
      </c>
      <c r="H30" s="23">
        <f t="shared" si="6"/>
        <v>-0.10205728116175877</v>
      </c>
      <c r="I30" s="24">
        <f t="shared" si="7"/>
        <v>49.69429669259196</v>
      </c>
      <c r="J30" s="24">
        <f t="shared" si="8"/>
        <v>96.25274782869123</v>
      </c>
      <c r="K30" s="21">
        <v>6427758.5</v>
      </c>
      <c r="L30" s="21">
        <v>6803830.21</v>
      </c>
      <c r="M30" s="25">
        <f t="shared" si="9"/>
        <v>-0.05527352952565816</v>
      </c>
      <c r="N30" s="10"/>
      <c r="R30" s="2"/>
    </row>
    <row r="31" spans="1:18" ht="15.75">
      <c r="A31" s="19"/>
      <c r="B31" s="20">
        <f>DATE(2018,3,1)</f>
        <v>43160</v>
      </c>
      <c r="C31" s="21">
        <v>155835</v>
      </c>
      <c r="D31" s="21">
        <v>160126</v>
      </c>
      <c r="E31" s="23">
        <f t="shared" si="5"/>
        <v>-0.02679764685310318</v>
      </c>
      <c r="F31" s="21">
        <f>+C31-75203</f>
        <v>80632</v>
      </c>
      <c r="G31" s="21">
        <f>+D31-77591</f>
        <v>82535</v>
      </c>
      <c r="H31" s="23">
        <f t="shared" si="6"/>
        <v>-0.02305688495789665</v>
      </c>
      <c r="I31" s="24">
        <f t="shared" si="7"/>
        <v>48.83709859787596</v>
      </c>
      <c r="J31" s="24">
        <f t="shared" si="8"/>
        <v>94.38596661375136</v>
      </c>
      <c r="K31" s="21">
        <v>7610529.26</v>
      </c>
      <c r="L31" s="21">
        <v>7547749.48</v>
      </c>
      <c r="M31" s="25">
        <f t="shared" si="9"/>
        <v>0.008317682001284351</v>
      </c>
      <c r="N31" s="10"/>
      <c r="R31" s="2"/>
    </row>
    <row r="32" spans="1:18" ht="15.75">
      <c r="A32" s="19"/>
      <c r="B32" s="20">
        <f>DATE(2018,4,1)</f>
        <v>43191</v>
      </c>
      <c r="C32" s="21">
        <v>134366</v>
      </c>
      <c r="D32" s="21">
        <v>147972</v>
      </c>
      <c r="E32" s="23">
        <f t="shared" si="5"/>
        <v>-0.09194982834590328</v>
      </c>
      <c r="F32" s="21">
        <f>+C32-65307</f>
        <v>69059</v>
      </c>
      <c r="G32" s="21">
        <f>+D32-72133</f>
        <v>75839</v>
      </c>
      <c r="H32" s="23">
        <f t="shared" si="6"/>
        <v>-0.08939991297353604</v>
      </c>
      <c r="I32" s="24">
        <f t="shared" si="7"/>
        <v>51.11383125195362</v>
      </c>
      <c r="J32" s="24">
        <f t="shared" si="8"/>
        <v>99.45062989617573</v>
      </c>
      <c r="K32" s="21">
        <v>6867961.05</v>
      </c>
      <c r="L32" s="21">
        <v>7086079.19</v>
      </c>
      <c r="M32" s="25">
        <f t="shared" si="9"/>
        <v>-0.03078121682690376</v>
      </c>
      <c r="N32" s="10"/>
      <c r="R32" s="2"/>
    </row>
    <row r="33" spans="1:18" ht="15.75">
      <c r="A33" s="19"/>
      <c r="B33" s="20">
        <f>DATE(2018,5,1)</f>
        <v>43221</v>
      </c>
      <c r="C33" s="21">
        <v>132093</v>
      </c>
      <c r="D33" s="21">
        <v>145455</v>
      </c>
      <c r="E33" s="23">
        <f t="shared" si="5"/>
        <v>-0.09186346292667835</v>
      </c>
      <c r="F33" s="21">
        <f>+C33-61960</f>
        <v>70133</v>
      </c>
      <c r="G33" s="21">
        <f>+D33-69365</f>
        <v>76090</v>
      </c>
      <c r="H33" s="23">
        <f t="shared" si="6"/>
        <v>-0.07828886844526219</v>
      </c>
      <c r="I33" s="24">
        <f t="shared" si="7"/>
        <v>50.36966243479973</v>
      </c>
      <c r="J33" s="24">
        <f t="shared" si="8"/>
        <v>94.86945974077824</v>
      </c>
      <c r="K33" s="21">
        <v>6653479.82</v>
      </c>
      <c r="L33" s="21">
        <v>6821662.33</v>
      </c>
      <c r="M33" s="25">
        <f t="shared" si="9"/>
        <v>-0.02465418278773112</v>
      </c>
      <c r="N33" s="10"/>
      <c r="R33" s="2"/>
    </row>
    <row r="34" spans="1:18" ht="15.75" customHeight="1" thickBot="1">
      <c r="A34" s="19"/>
      <c r="B34" s="20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customHeight="1" thickBot="1" thickTop="1">
      <c r="A35" s="26" t="s">
        <v>14</v>
      </c>
      <c r="B35" s="27"/>
      <c r="C35" s="28">
        <f>SUM(C23:C34)</f>
        <v>1524972</v>
      </c>
      <c r="D35" s="28">
        <f>SUM(D23:D34)</f>
        <v>1631794</v>
      </c>
      <c r="E35" s="279">
        <f>(+C35-D35)/D35</f>
        <v>-0.06546291995190569</v>
      </c>
      <c r="F35" s="28">
        <f>SUM(F23:F34)</f>
        <v>794419</v>
      </c>
      <c r="G35" s="28">
        <f>SUM(G23:G34)</f>
        <v>849928</v>
      </c>
      <c r="H35" s="30">
        <f>(+F35-G35)/G35</f>
        <v>-0.06531023804369311</v>
      </c>
      <c r="I35" s="31">
        <f>K35/C35</f>
        <v>48.281242193299285</v>
      </c>
      <c r="J35" s="31">
        <f>K35/F35</f>
        <v>92.68099387099251</v>
      </c>
      <c r="K35" s="28">
        <f>SUM(K23:K34)</f>
        <v>73627542.47</v>
      </c>
      <c r="L35" s="28">
        <f>SUM(L23:L34)</f>
        <v>74915789.01</v>
      </c>
      <c r="M35" s="32">
        <f>(+K35-L35)/L35</f>
        <v>-0.01719592834866956</v>
      </c>
      <c r="N35" s="10"/>
      <c r="R35" s="2"/>
    </row>
    <row r="36" spans="1:18" ht="15.75" customHeight="1" thickTop="1">
      <c r="A36" s="33"/>
      <c r="B36" s="34"/>
      <c r="C36" s="35"/>
      <c r="D36" s="35"/>
      <c r="E36" s="29"/>
      <c r="F36" s="35"/>
      <c r="G36" s="35"/>
      <c r="H36" s="29"/>
      <c r="I36" s="36"/>
      <c r="J36" s="36"/>
      <c r="K36" s="35"/>
      <c r="L36" s="35"/>
      <c r="M36" s="37"/>
      <c r="N36" s="10"/>
      <c r="R36" s="2"/>
    </row>
    <row r="37" spans="1:18" ht="15.75" customHeight="1">
      <c r="A37" s="19" t="s">
        <v>56</v>
      </c>
      <c r="B37" s="20">
        <f>DATE(2017,7,1)</f>
        <v>42917</v>
      </c>
      <c r="C37" s="21">
        <v>74865</v>
      </c>
      <c r="D37" s="21">
        <v>79290</v>
      </c>
      <c r="E37" s="23">
        <f aca="true" t="shared" si="10" ref="E37:E47">(+C37-D37)/D37</f>
        <v>-0.05580779417328793</v>
      </c>
      <c r="F37" s="21">
        <f>+C37-41129</f>
        <v>33736</v>
      </c>
      <c r="G37" s="21">
        <f>+D37-44110</f>
        <v>35180</v>
      </c>
      <c r="H37" s="23">
        <f aca="true" t="shared" si="11" ref="H37:H47">(+F37-G37)/G37</f>
        <v>-0.041046048891415575</v>
      </c>
      <c r="I37" s="24">
        <f aca="true" t="shared" si="12" ref="I37:I47">K37/C37</f>
        <v>43.836655847191615</v>
      </c>
      <c r="J37" s="24">
        <f aca="true" t="shared" si="13" ref="J37:J47">K37/F37</f>
        <v>97.27979724922932</v>
      </c>
      <c r="K37" s="21">
        <v>3281831.24</v>
      </c>
      <c r="L37" s="21">
        <v>3381483.62</v>
      </c>
      <c r="M37" s="25">
        <f aca="true" t="shared" si="14" ref="M37:M47">(+K37-L37)/L37</f>
        <v>-0.029470017069016554</v>
      </c>
      <c r="N37" s="10"/>
      <c r="R37" s="2"/>
    </row>
    <row r="38" spans="1:18" ht="15.75" customHeight="1">
      <c r="A38" s="19"/>
      <c r="B38" s="20">
        <f>DATE(2017,8,1)</f>
        <v>42948</v>
      </c>
      <c r="C38" s="21">
        <v>67175</v>
      </c>
      <c r="D38" s="21">
        <v>71059</v>
      </c>
      <c r="E38" s="23">
        <f t="shared" si="10"/>
        <v>-0.054658804655286455</v>
      </c>
      <c r="F38" s="21">
        <f>+C38-36831</f>
        <v>30344</v>
      </c>
      <c r="G38" s="21">
        <f>+D38-39645</f>
        <v>31414</v>
      </c>
      <c r="H38" s="23">
        <f t="shared" si="11"/>
        <v>-0.03406124657795887</v>
      </c>
      <c r="I38" s="24">
        <f t="shared" si="12"/>
        <v>43.37994923706736</v>
      </c>
      <c r="J38" s="24">
        <f t="shared" si="13"/>
        <v>96.0337493408911</v>
      </c>
      <c r="K38" s="21">
        <v>2914048.09</v>
      </c>
      <c r="L38" s="21">
        <v>2856153.4</v>
      </c>
      <c r="M38" s="25">
        <f t="shared" si="14"/>
        <v>0.020270161259545776</v>
      </c>
      <c r="N38" s="10"/>
      <c r="R38" s="2"/>
    </row>
    <row r="39" spans="1:18" ht="15.75" customHeight="1">
      <c r="A39" s="19"/>
      <c r="B39" s="20">
        <f>DATE(2017,9,1)</f>
        <v>42979</v>
      </c>
      <c r="C39" s="21">
        <v>69904</v>
      </c>
      <c r="D39" s="21">
        <v>74988</v>
      </c>
      <c r="E39" s="23">
        <f t="shared" si="10"/>
        <v>-0.0677975142689497</v>
      </c>
      <c r="F39" s="21">
        <f>+C39-38362</f>
        <v>31542</v>
      </c>
      <c r="G39" s="21">
        <f>+D39-41297</f>
        <v>33691</v>
      </c>
      <c r="H39" s="23">
        <f t="shared" si="11"/>
        <v>-0.06378558071888635</v>
      </c>
      <c r="I39" s="24">
        <f t="shared" si="12"/>
        <v>46.3982827878233</v>
      </c>
      <c r="J39" s="24">
        <f t="shared" si="13"/>
        <v>102.82878574598948</v>
      </c>
      <c r="K39" s="21">
        <v>3243425.56</v>
      </c>
      <c r="L39" s="21">
        <v>3135290.49</v>
      </c>
      <c r="M39" s="25">
        <f t="shared" si="14"/>
        <v>0.03448964947423415</v>
      </c>
      <c r="N39" s="10"/>
      <c r="R39" s="2"/>
    </row>
    <row r="40" spans="1:18" ht="15.75" customHeight="1">
      <c r="A40" s="19"/>
      <c r="B40" s="20">
        <f>DATE(2017,10,1)</f>
        <v>43009</v>
      </c>
      <c r="C40" s="21">
        <v>63657</v>
      </c>
      <c r="D40" s="21">
        <v>72346</v>
      </c>
      <c r="E40" s="23">
        <f t="shared" si="10"/>
        <v>-0.1201033920327316</v>
      </c>
      <c r="F40" s="21">
        <f>+C40-34877</f>
        <v>28780</v>
      </c>
      <c r="G40" s="21">
        <f>+D40-40670</f>
        <v>31676</v>
      </c>
      <c r="H40" s="23">
        <f t="shared" si="11"/>
        <v>-0.09142568506124511</v>
      </c>
      <c r="I40" s="24">
        <f t="shared" si="12"/>
        <v>45.453371349576635</v>
      </c>
      <c r="J40" s="24">
        <f t="shared" si="13"/>
        <v>100.53597150799165</v>
      </c>
      <c r="K40" s="21">
        <v>2893425.26</v>
      </c>
      <c r="L40" s="21">
        <v>2923958.35</v>
      </c>
      <c r="M40" s="25">
        <f t="shared" si="14"/>
        <v>-0.010442381985365939</v>
      </c>
      <c r="N40" s="10"/>
      <c r="R40" s="2"/>
    </row>
    <row r="41" spans="1:18" ht="15.75" customHeight="1">
      <c r="A41" s="19"/>
      <c r="B41" s="20">
        <f>DATE(2017,11,1)</f>
        <v>43040</v>
      </c>
      <c r="C41" s="21">
        <v>63113</v>
      </c>
      <c r="D41" s="21">
        <v>65636</v>
      </c>
      <c r="E41" s="23">
        <f t="shared" si="10"/>
        <v>-0.03843927113169602</v>
      </c>
      <c r="F41" s="21">
        <f>+C41-34636</f>
        <v>28477</v>
      </c>
      <c r="G41" s="21">
        <f>+D41-36502</f>
        <v>29134</v>
      </c>
      <c r="H41" s="23">
        <f t="shared" si="11"/>
        <v>-0.02255097137365278</v>
      </c>
      <c r="I41" s="24">
        <f t="shared" si="12"/>
        <v>45.041048278484624</v>
      </c>
      <c r="J41" s="24">
        <f t="shared" si="13"/>
        <v>99.82356568458756</v>
      </c>
      <c r="K41" s="21">
        <v>2842675.68</v>
      </c>
      <c r="L41" s="21">
        <v>2921467.44</v>
      </c>
      <c r="M41" s="25">
        <f t="shared" si="14"/>
        <v>-0.02696992577127602</v>
      </c>
      <c r="N41" s="10"/>
      <c r="R41" s="2"/>
    </row>
    <row r="42" spans="1:18" ht="15.75" customHeight="1">
      <c r="A42" s="19"/>
      <c r="B42" s="20">
        <f>DATE(2017,12,1)</f>
        <v>43070</v>
      </c>
      <c r="C42" s="21">
        <v>67232</v>
      </c>
      <c r="D42" s="21">
        <v>70253</v>
      </c>
      <c r="E42" s="23">
        <f t="shared" si="10"/>
        <v>-0.04300172234637667</v>
      </c>
      <c r="F42" s="21">
        <f>+C42-38046</f>
        <v>29186</v>
      </c>
      <c r="G42" s="21">
        <f>+D42-39671</f>
        <v>30582</v>
      </c>
      <c r="H42" s="23">
        <f t="shared" si="11"/>
        <v>-0.04564776666012687</v>
      </c>
      <c r="I42" s="24">
        <f t="shared" si="12"/>
        <v>45.92607314969062</v>
      </c>
      <c r="J42" s="24">
        <f t="shared" si="13"/>
        <v>105.79393373535257</v>
      </c>
      <c r="K42" s="21">
        <v>3087701.75</v>
      </c>
      <c r="L42" s="21">
        <v>3060080.79</v>
      </c>
      <c r="M42" s="25">
        <f t="shared" si="14"/>
        <v>0.009026219206454338</v>
      </c>
      <c r="N42" s="10"/>
      <c r="R42" s="2"/>
    </row>
    <row r="43" spans="1:18" ht="15.75" customHeight="1">
      <c r="A43" s="19"/>
      <c r="B43" s="20">
        <f>DATE(2018,1,1)</f>
        <v>43101</v>
      </c>
      <c r="C43" s="21">
        <v>54220</v>
      </c>
      <c r="D43" s="21">
        <v>62319</v>
      </c>
      <c r="E43" s="23">
        <f t="shared" si="10"/>
        <v>-0.12996036521767038</v>
      </c>
      <c r="F43" s="21">
        <f>+C43-30564</f>
        <v>23656</v>
      </c>
      <c r="G43" s="21">
        <f>+D43-35198</f>
        <v>27121</v>
      </c>
      <c r="H43" s="23">
        <f t="shared" si="11"/>
        <v>-0.1277607757826039</v>
      </c>
      <c r="I43" s="24">
        <f t="shared" si="12"/>
        <v>45.85845536702324</v>
      </c>
      <c r="J43" s="24">
        <f t="shared" si="13"/>
        <v>105.10844817382483</v>
      </c>
      <c r="K43" s="21">
        <v>2486445.45</v>
      </c>
      <c r="L43" s="21">
        <v>2719307.7</v>
      </c>
      <c r="M43" s="25">
        <f t="shared" si="14"/>
        <v>-0.08563291678981381</v>
      </c>
      <c r="N43" s="10"/>
      <c r="R43" s="2"/>
    </row>
    <row r="44" spans="1:18" ht="15.75" customHeight="1">
      <c r="A44" s="19"/>
      <c r="B44" s="20">
        <f>DATE(2018,2,1)</f>
        <v>43132</v>
      </c>
      <c r="C44" s="21">
        <v>65508</v>
      </c>
      <c r="D44" s="21">
        <v>73408</v>
      </c>
      <c r="E44" s="23">
        <f t="shared" si="10"/>
        <v>-0.10761769834350479</v>
      </c>
      <c r="F44" s="21">
        <f>+C44-36512</f>
        <v>28996</v>
      </c>
      <c r="G44" s="21">
        <f>+D44-41466</f>
        <v>31942</v>
      </c>
      <c r="H44" s="23">
        <f t="shared" si="11"/>
        <v>-0.09222966627011459</v>
      </c>
      <c r="I44" s="24">
        <f t="shared" si="12"/>
        <v>46.69418513769311</v>
      </c>
      <c r="J44" s="24">
        <f t="shared" si="13"/>
        <v>105.49188439784798</v>
      </c>
      <c r="K44" s="21">
        <v>3058842.68</v>
      </c>
      <c r="L44" s="21">
        <v>3306220.09</v>
      </c>
      <c r="M44" s="25">
        <f t="shared" si="14"/>
        <v>-0.07482182167733416</v>
      </c>
      <c r="N44" s="10"/>
      <c r="R44" s="2"/>
    </row>
    <row r="45" spans="1:18" ht="15.75" customHeight="1">
      <c r="A45" s="19"/>
      <c r="B45" s="20">
        <f>DATE(2018,3,1)</f>
        <v>43160</v>
      </c>
      <c r="C45" s="21">
        <v>81511</v>
      </c>
      <c r="D45" s="21">
        <v>80417</v>
      </c>
      <c r="E45" s="23">
        <f t="shared" si="10"/>
        <v>0.013604088687715284</v>
      </c>
      <c r="F45" s="21">
        <f>+C45-46109</f>
        <v>35402</v>
      </c>
      <c r="G45" s="21">
        <f>+D45-45370</f>
        <v>35047</v>
      </c>
      <c r="H45" s="23">
        <f t="shared" si="11"/>
        <v>0.010129255000427996</v>
      </c>
      <c r="I45" s="24">
        <f t="shared" si="12"/>
        <v>47.52944645507968</v>
      </c>
      <c r="J45" s="24">
        <f t="shared" si="13"/>
        <v>109.43372436585504</v>
      </c>
      <c r="K45" s="21">
        <v>3874172.71</v>
      </c>
      <c r="L45" s="21">
        <v>3696706</v>
      </c>
      <c r="M45" s="25">
        <f t="shared" si="14"/>
        <v>0.04800671462648097</v>
      </c>
      <c r="N45" s="10"/>
      <c r="R45" s="2"/>
    </row>
    <row r="46" spans="1:18" ht="15.75" customHeight="1">
      <c r="A46" s="19"/>
      <c r="B46" s="20">
        <f>DATE(2018,4,1)</f>
        <v>43191</v>
      </c>
      <c r="C46" s="21">
        <v>68061</v>
      </c>
      <c r="D46" s="21">
        <v>70766</v>
      </c>
      <c r="E46" s="23">
        <f t="shared" si="10"/>
        <v>-0.03822457112172512</v>
      </c>
      <c r="F46" s="21">
        <f>+C46-38034</f>
        <v>30027</v>
      </c>
      <c r="G46" s="21">
        <f>+D46-39875</f>
        <v>30891</v>
      </c>
      <c r="H46" s="23">
        <f t="shared" si="11"/>
        <v>-0.027969311449936876</v>
      </c>
      <c r="I46" s="24">
        <f t="shared" si="12"/>
        <v>46.609706292884326</v>
      </c>
      <c r="J46" s="24">
        <f t="shared" si="13"/>
        <v>105.64835714523596</v>
      </c>
      <c r="K46" s="21">
        <v>3172303.22</v>
      </c>
      <c r="L46" s="21">
        <v>3071320.43</v>
      </c>
      <c r="M46" s="25">
        <f t="shared" si="14"/>
        <v>0.03287927531547076</v>
      </c>
      <c r="N46" s="10"/>
      <c r="R46" s="2"/>
    </row>
    <row r="47" spans="1:18" ht="15.75" customHeight="1">
      <c r="A47" s="19"/>
      <c r="B47" s="20">
        <f>DATE(2018,5,1)</f>
        <v>43221</v>
      </c>
      <c r="C47" s="21">
        <v>66559</v>
      </c>
      <c r="D47" s="21">
        <v>69721</v>
      </c>
      <c r="E47" s="23">
        <f t="shared" si="10"/>
        <v>-0.045352189440771074</v>
      </c>
      <c r="F47" s="21">
        <f>+C47-36334</f>
        <v>30225</v>
      </c>
      <c r="G47" s="21">
        <f>+D47-38109</f>
        <v>31612</v>
      </c>
      <c r="H47" s="23">
        <f t="shared" si="11"/>
        <v>-0.043875743388586616</v>
      </c>
      <c r="I47" s="24">
        <f t="shared" si="12"/>
        <v>48.38374524857645</v>
      </c>
      <c r="J47" s="24">
        <f t="shared" si="13"/>
        <v>106.54668982630274</v>
      </c>
      <c r="K47" s="21">
        <v>3220373.7</v>
      </c>
      <c r="L47" s="21">
        <v>2840659.43</v>
      </c>
      <c r="M47" s="25">
        <f t="shared" si="14"/>
        <v>0.13367117014798216</v>
      </c>
      <c r="N47" s="10"/>
      <c r="R47" s="2"/>
    </row>
    <row r="48" spans="1:18" ht="15.75" customHeight="1" thickBot="1">
      <c r="A48" s="38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25" customHeight="1" thickBot="1" thickTop="1">
      <c r="A49" s="39" t="s">
        <v>14</v>
      </c>
      <c r="B49" s="40"/>
      <c r="C49" s="41">
        <f>SUM(C37:C48)</f>
        <v>741805</v>
      </c>
      <c r="D49" s="41">
        <f>SUM(D37:D48)</f>
        <v>790203</v>
      </c>
      <c r="E49" s="280">
        <f>(+C49-D49)/D49</f>
        <v>-0.061247552844016034</v>
      </c>
      <c r="F49" s="41">
        <f>SUM(F37:F48)</f>
        <v>330371</v>
      </c>
      <c r="G49" s="41">
        <f>SUM(G37:G48)</f>
        <v>348290</v>
      </c>
      <c r="H49" s="42">
        <f>(+F49-G49)/G49</f>
        <v>-0.05144850555571506</v>
      </c>
      <c r="I49" s="43">
        <f>K49/C49</f>
        <v>45.935583259751546</v>
      </c>
      <c r="J49" s="43">
        <f>K49/F49</f>
        <v>103.14236219280747</v>
      </c>
      <c r="K49" s="41">
        <f>SUM(K37:K48)</f>
        <v>34075245.339999996</v>
      </c>
      <c r="L49" s="41">
        <f>SUM(L37:L48)</f>
        <v>33912647.74</v>
      </c>
      <c r="M49" s="44">
        <f>(+K49-L49)/L49</f>
        <v>0.004794600564561935</v>
      </c>
      <c r="N49" s="10"/>
      <c r="R49" s="2"/>
    </row>
    <row r="50" spans="1:18" ht="15.75" customHeight="1" thickTop="1">
      <c r="A50" s="38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>
      <c r="A51" s="177" t="s">
        <v>65</v>
      </c>
      <c r="B51" s="20">
        <f>DATE(2017,7,1)</f>
        <v>42917</v>
      </c>
      <c r="C51" s="21">
        <v>502707</v>
      </c>
      <c r="D51" s="21">
        <v>511183</v>
      </c>
      <c r="E51" s="23">
        <f aca="true" t="shared" si="15" ref="E51:E61">(+C51-D51)/D51</f>
        <v>-0.016581146086626513</v>
      </c>
      <c r="F51" s="21">
        <f>+C51-258518</f>
        <v>244189</v>
      </c>
      <c r="G51" s="21">
        <f>+D51-260995</f>
        <v>250188</v>
      </c>
      <c r="H51" s="23">
        <f aca="true" t="shared" si="16" ref="H51:H61">(+F51-G51)/G51</f>
        <v>-0.023977968567637137</v>
      </c>
      <c r="I51" s="24">
        <f aca="true" t="shared" si="17" ref="I51:I61">K51/C51</f>
        <v>42.25325048189104</v>
      </c>
      <c r="J51" s="24">
        <f aca="true" t="shared" si="18" ref="J51:J61">K51/F51</f>
        <v>86.98591988173095</v>
      </c>
      <c r="K51" s="21">
        <v>21241004.79</v>
      </c>
      <c r="L51" s="21">
        <v>21271913.41</v>
      </c>
      <c r="M51" s="25">
        <f aca="true" t="shared" si="19" ref="M51:M61">(+K51-L51)/L51</f>
        <v>-0.0014530249067989714</v>
      </c>
      <c r="N51" s="10"/>
      <c r="R51" s="2"/>
    </row>
    <row r="52" spans="1:18" ht="15.75" customHeight="1">
      <c r="A52" s="177"/>
      <c r="B52" s="20">
        <f>DATE(2017,8,1)</f>
        <v>42948</v>
      </c>
      <c r="C52" s="21">
        <v>453491</v>
      </c>
      <c r="D52" s="21">
        <v>492813</v>
      </c>
      <c r="E52" s="23">
        <f t="shared" si="15"/>
        <v>-0.07979091460655462</v>
      </c>
      <c r="F52" s="21">
        <f>+C52-231314</f>
        <v>222177</v>
      </c>
      <c r="G52" s="21">
        <f>+D52-254208</f>
        <v>238605</v>
      </c>
      <c r="H52" s="23">
        <f t="shared" si="16"/>
        <v>-0.06885019173948576</v>
      </c>
      <c r="I52" s="24">
        <f t="shared" si="17"/>
        <v>43.557037383321834</v>
      </c>
      <c r="J52" s="24">
        <f t="shared" si="18"/>
        <v>88.9053522191766</v>
      </c>
      <c r="K52" s="21">
        <v>19752724.44</v>
      </c>
      <c r="L52" s="21">
        <v>20322456.8</v>
      </c>
      <c r="M52" s="25">
        <f t="shared" si="19"/>
        <v>-0.028034620302403564</v>
      </c>
      <c r="N52" s="10"/>
      <c r="R52" s="2"/>
    </row>
    <row r="53" spans="1:18" ht="15.75" customHeight="1">
      <c r="A53" s="177"/>
      <c r="B53" s="20">
        <f>DATE(2017,9,1)</f>
        <v>42979</v>
      </c>
      <c r="C53" s="21">
        <v>440378</v>
      </c>
      <c r="D53" s="21">
        <v>456081</v>
      </c>
      <c r="E53" s="23">
        <f t="shared" si="15"/>
        <v>-0.0344302876024215</v>
      </c>
      <c r="F53" s="21">
        <f>+C53-224768</f>
        <v>215610</v>
      </c>
      <c r="G53" s="21">
        <f>+D53-233745</f>
        <v>222336</v>
      </c>
      <c r="H53" s="23">
        <f t="shared" si="16"/>
        <v>-0.030251511226252158</v>
      </c>
      <c r="I53" s="24">
        <f t="shared" si="17"/>
        <v>45.40048721779926</v>
      </c>
      <c r="J53" s="24">
        <f t="shared" si="18"/>
        <v>92.72935281294932</v>
      </c>
      <c r="K53" s="21">
        <v>19993375.76</v>
      </c>
      <c r="L53" s="21">
        <v>19442866.91</v>
      </c>
      <c r="M53" s="25">
        <f t="shared" si="19"/>
        <v>0.028314180853486155</v>
      </c>
      <c r="N53" s="10"/>
      <c r="R53" s="2"/>
    </row>
    <row r="54" spans="1:18" ht="15.75" customHeight="1">
      <c r="A54" s="177"/>
      <c r="B54" s="20">
        <f>DATE(2017,10,1)</f>
        <v>43009</v>
      </c>
      <c r="C54" s="21">
        <v>419713</v>
      </c>
      <c r="D54" s="21">
        <v>454176</v>
      </c>
      <c r="E54" s="23">
        <f t="shared" si="15"/>
        <v>-0.07588027548791658</v>
      </c>
      <c r="F54" s="21">
        <f>+C54-218072</f>
        <v>201641</v>
      </c>
      <c r="G54" s="21">
        <f>+D54-236207</f>
        <v>217969</v>
      </c>
      <c r="H54" s="23">
        <f t="shared" si="16"/>
        <v>-0.07490973487055498</v>
      </c>
      <c r="I54" s="24">
        <f t="shared" si="17"/>
        <v>43.245254471507906</v>
      </c>
      <c r="J54" s="24">
        <f t="shared" si="18"/>
        <v>90.01440922233077</v>
      </c>
      <c r="K54" s="21">
        <v>18150595.49</v>
      </c>
      <c r="L54" s="21">
        <v>19802463.97</v>
      </c>
      <c r="M54" s="25">
        <f t="shared" si="19"/>
        <v>-0.08341732031440735</v>
      </c>
      <c r="N54" s="10"/>
      <c r="R54" s="2"/>
    </row>
    <row r="55" spans="1:18" ht="15.75" customHeight="1">
      <c r="A55" s="177"/>
      <c r="B55" s="20">
        <f>DATE(2017,11,1)</f>
        <v>43040</v>
      </c>
      <c r="C55" s="21">
        <v>408603</v>
      </c>
      <c r="D55" s="21">
        <v>448954</v>
      </c>
      <c r="E55" s="23">
        <f t="shared" si="15"/>
        <v>-0.08987780485305845</v>
      </c>
      <c r="F55" s="21">
        <f>+C55-210845</f>
        <v>197758</v>
      </c>
      <c r="G55" s="21">
        <f>+D55-231857</f>
        <v>217097</v>
      </c>
      <c r="H55" s="23">
        <f t="shared" si="16"/>
        <v>-0.0890799964992607</v>
      </c>
      <c r="I55" s="24">
        <f t="shared" si="17"/>
        <v>45.199705288507424</v>
      </c>
      <c r="J55" s="24">
        <f t="shared" si="18"/>
        <v>93.39058435056988</v>
      </c>
      <c r="K55" s="21">
        <v>18468735.18</v>
      </c>
      <c r="L55" s="21">
        <v>18785567.54</v>
      </c>
      <c r="M55" s="25">
        <f t="shared" si="19"/>
        <v>-0.01686573266021216</v>
      </c>
      <c r="N55" s="10"/>
      <c r="R55" s="2"/>
    </row>
    <row r="56" spans="1:18" ht="15.75" customHeight="1">
      <c r="A56" s="177"/>
      <c r="B56" s="20">
        <f>DATE(2017,12,1)</f>
        <v>43070</v>
      </c>
      <c r="C56" s="21">
        <v>449629</v>
      </c>
      <c r="D56" s="21">
        <v>462580</v>
      </c>
      <c r="E56" s="23">
        <f t="shared" si="15"/>
        <v>-0.02799731938259328</v>
      </c>
      <c r="F56" s="21">
        <f>+C56-233187</f>
        <v>216442</v>
      </c>
      <c r="G56" s="21">
        <f>+D56-240615</f>
        <v>221965</v>
      </c>
      <c r="H56" s="23">
        <f t="shared" si="16"/>
        <v>-0.02488230126371275</v>
      </c>
      <c r="I56" s="24">
        <f t="shared" si="17"/>
        <v>44.81480227031619</v>
      </c>
      <c r="J56" s="24">
        <f t="shared" si="18"/>
        <v>93.09669440311954</v>
      </c>
      <c r="K56" s="21">
        <v>20150034.73</v>
      </c>
      <c r="L56" s="21">
        <v>19391377.46</v>
      </c>
      <c r="M56" s="25">
        <f t="shared" si="19"/>
        <v>0.0391234336789605</v>
      </c>
      <c r="N56" s="10"/>
      <c r="R56" s="2"/>
    </row>
    <row r="57" spans="1:18" ht="15.75" customHeight="1">
      <c r="A57" s="177"/>
      <c r="B57" s="20">
        <f>DATE(2018,1,1)</f>
        <v>43101</v>
      </c>
      <c r="C57" s="21">
        <v>391423</v>
      </c>
      <c r="D57" s="21">
        <v>435215</v>
      </c>
      <c r="E57" s="23">
        <f t="shared" si="15"/>
        <v>-0.10062153188653884</v>
      </c>
      <c r="F57" s="21">
        <f>+C57-204825</f>
        <v>186598</v>
      </c>
      <c r="G57" s="21">
        <f>+D57-229944</f>
        <v>205271</v>
      </c>
      <c r="H57" s="23">
        <f t="shared" si="16"/>
        <v>-0.0909675502141072</v>
      </c>
      <c r="I57" s="24">
        <f t="shared" si="17"/>
        <v>45.31673197538213</v>
      </c>
      <c r="J57" s="24">
        <f t="shared" si="18"/>
        <v>95.0600284033055</v>
      </c>
      <c r="K57" s="21">
        <v>17738011.18</v>
      </c>
      <c r="L57" s="21">
        <v>18255008.8</v>
      </c>
      <c r="M57" s="25">
        <f t="shared" si="19"/>
        <v>-0.028320863915442265</v>
      </c>
      <c r="N57" s="10"/>
      <c r="R57" s="2"/>
    </row>
    <row r="58" spans="1:18" ht="15.75" customHeight="1">
      <c r="A58" s="177"/>
      <c r="B58" s="20">
        <f>DATE(2018,2,1)</f>
        <v>43132</v>
      </c>
      <c r="C58" s="21">
        <v>413419</v>
      </c>
      <c r="D58" s="21">
        <v>459756</v>
      </c>
      <c r="E58" s="23">
        <f t="shared" si="15"/>
        <v>-0.10078606913232237</v>
      </c>
      <c r="F58" s="21">
        <f>+C58-213480</f>
        <v>199939</v>
      </c>
      <c r="G58" s="21">
        <f>+D58-240345</f>
        <v>219411</v>
      </c>
      <c r="H58" s="23">
        <f t="shared" si="16"/>
        <v>-0.08874669000186863</v>
      </c>
      <c r="I58" s="24">
        <f t="shared" si="17"/>
        <v>45.455958144158835</v>
      </c>
      <c r="J58" s="24">
        <f t="shared" si="18"/>
        <v>93.99045088752071</v>
      </c>
      <c r="K58" s="21">
        <v>18792356.76</v>
      </c>
      <c r="L58" s="21">
        <v>19482334.15</v>
      </c>
      <c r="M58" s="25">
        <f t="shared" si="19"/>
        <v>-0.035415540288328176</v>
      </c>
      <c r="N58" s="10"/>
      <c r="R58" s="2"/>
    </row>
    <row r="59" spans="1:18" ht="15.75" customHeight="1">
      <c r="A59" s="177"/>
      <c r="B59" s="20">
        <f>DATE(2018,3,1)</f>
        <v>43160</v>
      </c>
      <c r="C59" s="21">
        <v>490262</v>
      </c>
      <c r="D59" s="21">
        <v>502493</v>
      </c>
      <c r="E59" s="23">
        <f t="shared" si="15"/>
        <v>-0.024340637581021028</v>
      </c>
      <c r="F59" s="21">
        <f>+C59-252614</f>
        <v>237648</v>
      </c>
      <c r="G59" s="21">
        <f>+D59-261915</f>
        <v>240578</v>
      </c>
      <c r="H59" s="23">
        <f t="shared" si="16"/>
        <v>-0.012179002236280956</v>
      </c>
      <c r="I59" s="24">
        <f t="shared" si="17"/>
        <v>45.101164968934974</v>
      </c>
      <c r="J59" s="24">
        <f t="shared" si="18"/>
        <v>93.04259804416616</v>
      </c>
      <c r="K59" s="21">
        <v>22111387.34</v>
      </c>
      <c r="L59" s="21">
        <v>22951045.2</v>
      </c>
      <c r="M59" s="25">
        <f t="shared" si="19"/>
        <v>-0.036584732968936835</v>
      </c>
      <c r="N59" s="10"/>
      <c r="R59" s="2"/>
    </row>
    <row r="60" spans="1:18" ht="15.75" customHeight="1">
      <c r="A60" s="177"/>
      <c r="B60" s="20">
        <f>DATE(2018,4,1)</f>
        <v>43191</v>
      </c>
      <c r="C60" s="21">
        <v>432206</v>
      </c>
      <c r="D60" s="21">
        <v>447196</v>
      </c>
      <c r="E60" s="23">
        <f t="shared" si="15"/>
        <v>-0.033519977817332895</v>
      </c>
      <c r="F60" s="21">
        <f>+C60-222217</f>
        <v>209989</v>
      </c>
      <c r="G60" s="21">
        <f>+D60-231800</f>
        <v>215396</v>
      </c>
      <c r="H60" s="23">
        <f t="shared" si="16"/>
        <v>-0.02510260171962339</v>
      </c>
      <c r="I60" s="24">
        <f t="shared" si="17"/>
        <v>47.80278681924823</v>
      </c>
      <c r="J60" s="24">
        <f t="shared" si="18"/>
        <v>98.38920743467516</v>
      </c>
      <c r="K60" s="21">
        <v>20660651.28</v>
      </c>
      <c r="L60" s="21">
        <v>20211795.2</v>
      </c>
      <c r="M60" s="25">
        <f t="shared" si="19"/>
        <v>0.02220763052259712</v>
      </c>
      <c r="N60" s="10"/>
      <c r="R60" s="2"/>
    </row>
    <row r="61" spans="1:18" ht="15.75" customHeight="1">
      <c r="A61" s="177"/>
      <c r="B61" s="20">
        <f>DATE(2018,5,1)</f>
        <v>43221</v>
      </c>
      <c r="C61" s="21">
        <v>448369</v>
      </c>
      <c r="D61" s="21">
        <v>446945</v>
      </c>
      <c r="E61" s="23">
        <f t="shared" si="15"/>
        <v>0.0031860743491928536</v>
      </c>
      <c r="F61" s="21">
        <f>+C61-226014</f>
        <v>222355</v>
      </c>
      <c r="G61" s="21">
        <f>+D61-230073</f>
        <v>216872</v>
      </c>
      <c r="H61" s="23">
        <f t="shared" si="16"/>
        <v>0.02528219410527869</v>
      </c>
      <c r="I61" s="24">
        <f t="shared" si="17"/>
        <v>43.94047985030188</v>
      </c>
      <c r="J61" s="24">
        <f t="shared" si="18"/>
        <v>88.60402963729173</v>
      </c>
      <c r="K61" s="21">
        <v>19701549.01</v>
      </c>
      <c r="L61" s="21">
        <v>20323802.07</v>
      </c>
      <c r="M61" s="25">
        <f t="shared" si="19"/>
        <v>-0.030616961228849375</v>
      </c>
      <c r="N61" s="10"/>
      <c r="R61" s="2"/>
    </row>
    <row r="62" spans="1:18" ht="15.75" thickBot="1">
      <c r="A62" s="38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thickBot="1" thickTop="1">
      <c r="A63" s="39" t="s">
        <v>14</v>
      </c>
      <c r="B63" s="40"/>
      <c r="C63" s="41">
        <f>SUM(C51:C62)</f>
        <v>4850200</v>
      </c>
      <c r="D63" s="41">
        <f>SUM(D51:D62)</f>
        <v>5117392</v>
      </c>
      <c r="E63" s="280">
        <f>(+C63-D63)/D63</f>
        <v>-0.05221253325912887</v>
      </c>
      <c r="F63" s="41">
        <f>SUM(F51:F62)</f>
        <v>2354346</v>
      </c>
      <c r="G63" s="41">
        <f>SUM(G51:G62)</f>
        <v>2465688</v>
      </c>
      <c r="H63" s="42">
        <f>(+F63-G63)/G63</f>
        <v>-0.04515656482085325</v>
      </c>
      <c r="I63" s="43">
        <f>K63/C63</f>
        <v>44.69102840295245</v>
      </c>
      <c r="J63" s="43">
        <f>K63/F63</f>
        <v>92.0682117072002</v>
      </c>
      <c r="K63" s="41">
        <f>SUM(K51:K62)</f>
        <v>216760425.95999998</v>
      </c>
      <c r="L63" s="41">
        <f>SUM(L51:L62)</f>
        <v>220240631.51</v>
      </c>
      <c r="M63" s="44">
        <f>(+K63-L63)/L63</f>
        <v>-0.01580183241456967</v>
      </c>
      <c r="N63" s="10"/>
      <c r="R63" s="2"/>
    </row>
    <row r="64" spans="1:18" ht="15.75" thickTop="1">
      <c r="A64" s="38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>
      <c r="A65" s="19" t="s">
        <v>16</v>
      </c>
      <c r="B65" s="20">
        <f>DATE(2017,7,1)</f>
        <v>42917</v>
      </c>
      <c r="C65" s="21">
        <v>332127</v>
      </c>
      <c r="D65" s="21">
        <v>323462</v>
      </c>
      <c r="E65" s="23">
        <f aca="true" t="shared" si="20" ref="E65:E75">(+C65-D65)/D65</f>
        <v>0.026788308982198836</v>
      </c>
      <c r="F65" s="21">
        <f>+C65-153372</f>
        <v>178755</v>
      </c>
      <c r="G65" s="21">
        <f>+D65-151596</f>
        <v>171866</v>
      </c>
      <c r="H65" s="23">
        <f aca="true" t="shared" si="21" ref="H65:H75">(+F65-G65)/G65</f>
        <v>0.040083553466072404</v>
      </c>
      <c r="I65" s="24">
        <f aca="true" t="shared" si="22" ref="I65:I75">K65/C65</f>
        <v>51.117664869161494</v>
      </c>
      <c r="J65" s="24">
        <f aca="true" t="shared" si="23" ref="J65:J75">K65/F65</f>
        <v>94.97668137954183</v>
      </c>
      <c r="K65" s="21">
        <v>16977556.68</v>
      </c>
      <c r="L65" s="21">
        <v>13704607.39</v>
      </c>
      <c r="M65" s="25">
        <f aca="true" t="shared" si="24" ref="M65:M75">(+K65-L65)/L65</f>
        <v>0.23882109110168379</v>
      </c>
      <c r="N65" s="10"/>
      <c r="R65" s="2"/>
    </row>
    <row r="66" spans="1:18" ht="15.75">
      <c r="A66" s="19"/>
      <c r="B66" s="20">
        <f>DATE(2017,8,1)</f>
        <v>42948</v>
      </c>
      <c r="C66" s="21">
        <v>318460</v>
      </c>
      <c r="D66" s="21">
        <v>307862</v>
      </c>
      <c r="E66" s="23">
        <f t="shared" si="20"/>
        <v>0.03442451488004366</v>
      </c>
      <c r="F66" s="21">
        <f>+C66-146549</f>
        <v>171911</v>
      </c>
      <c r="G66" s="21">
        <f>+D66-143781</f>
        <v>164081</v>
      </c>
      <c r="H66" s="23">
        <f t="shared" si="21"/>
        <v>0.04772033325004114</v>
      </c>
      <c r="I66" s="24">
        <f t="shared" si="22"/>
        <v>48.91667229793381</v>
      </c>
      <c r="J66" s="24">
        <f t="shared" si="23"/>
        <v>90.61667641977536</v>
      </c>
      <c r="K66" s="21">
        <v>15578003.46</v>
      </c>
      <c r="L66" s="21">
        <v>14120994.54</v>
      </c>
      <c r="M66" s="25">
        <f t="shared" si="24"/>
        <v>0.10318033307588843</v>
      </c>
      <c r="N66" s="10"/>
      <c r="R66" s="2"/>
    </row>
    <row r="67" spans="1:18" ht="15.75">
      <c r="A67" s="19"/>
      <c r="B67" s="20">
        <f>DATE(2017,9,1)</f>
        <v>42979</v>
      </c>
      <c r="C67" s="21">
        <v>319116</v>
      </c>
      <c r="D67" s="21">
        <v>293770</v>
      </c>
      <c r="E67" s="23">
        <f t="shared" si="20"/>
        <v>0.08627838104639685</v>
      </c>
      <c r="F67" s="21">
        <f>+C67-146330</f>
        <v>172786</v>
      </c>
      <c r="G67" s="21">
        <f>+D67-134268</f>
        <v>159502</v>
      </c>
      <c r="H67" s="23">
        <f t="shared" si="21"/>
        <v>0.08328422214141515</v>
      </c>
      <c r="I67" s="24">
        <f t="shared" si="22"/>
        <v>48.81698181852367</v>
      </c>
      <c r="J67" s="24">
        <f t="shared" si="23"/>
        <v>90.15938773974743</v>
      </c>
      <c r="K67" s="21">
        <v>15578279.97</v>
      </c>
      <c r="L67" s="21">
        <v>14466452.66</v>
      </c>
      <c r="M67" s="25">
        <f t="shared" si="24"/>
        <v>0.07685555928124818</v>
      </c>
      <c r="N67" s="10"/>
      <c r="R67" s="2"/>
    </row>
    <row r="68" spans="1:18" ht="15.75">
      <c r="A68" s="19"/>
      <c r="B68" s="20">
        <f>DATE(2017,10,1)</f>
        <v>43009</v>
      </c>
      <c r="C68" s="21">
        <v>307325</v>
      </c>
      <c r="D68" s="21">
        <v>284233</v>
      </c>
      <c r="E68" s="23">
        <f t="shared" si="20"/>
        <v>0.08124320539838795</v>
      </c>
      <c r="F68" s="21">
        <f>+C68-144149</f>
        <v>163176</v>
      </c>
      <c r="G68" s="21">
        <f>+D68-134431</f>
        <v>149802</v>
      </c>
      <c r="H68" s="23">
        <f t="shared" si="21"/>
        <v>0.08927784675772019</v>
      </c>
      <c r="I68" s="24">
        <f t="shared" si="22"/>
        <v>46.718018937606764</v>
      </c>
      <c r="J68" s="24">
        <f t="shared" si="23"/>
        <v>87.98852263813306</v>
      </c>
      <c r="K68" s="21">
        <v>14357615.17</v>
      </c>
      <c r="L68" s="21">
        <v>13784707.47</v>
      </c>
      <c r="M68" s="25">
        <f t="shared" si="24"/>
        <v>0.04156110684588936</v>
      </c>
      <c r="N68" s="10"/>
      <c r="R68" s="2"/>
    </row>
    <row r="69" spans="1:18" ht="15.75">
      <c r="A69" s="19"/>
      <c r="B69" s="20">
        <f>DATE(2017,11,1)</f>
        <v>43040</v>
      </c>
      <c r="C69" s="21">
        <v>280587</v>
      </c>
      <c r="D69" s="21">
        <v>277688</v>
      </c>
      <c r="E69" s="23">
        <f t="shared" si="20"/>
        <v>0.010439774135000432</v>
      </c>
      <c r="F69" s="21">
        <f>+C69-134796</f>
        <v>145791</v>
      </c>
      <c r="G69" s="21">
        <f>+D69-132374</f>
        <v>145314</v>
      </c>
      <c r="H69" s="23">
        <f t="shared" si="21"/>
        <v>0.0032825467608076303</v>
      </c>
      <c r="I69" s="24">
        <f t="shared" si="22"/>
        <v>50.250457718996245</v>
      </c>
      <c r="J69" s="24">
        <f t="shared" si="23"/>
        <v>96.7112179764183</v>
      </c>
      <c r="K69" s="21">
        <v>14099625.18</v>
      </c>
      <c r="L69" s="21">
        <v>13247854.81</v>
      </c>
      <c r="M69" s="25">
        <f t="shared" si="24"/>
        <v>0.0642949656541412</v>
      </c>
      <c r="N69" s="10"/>
      <c r="R69" s="2"/>
    </row>
    <row r="70" spans="1:18" ht="15.75">
      <c r="A70" s="19"/>
      <c r="B70" s="20">
        <f>DATE(2017,12,1)</f>
        <v>43070</v>
      </c>
      <c r="C70" s="21">
        <v>306888</v>
      </c>
      <c r="D70" s="21">
        <v>285780</v>
      </c>
      <c r="E70" s="23">
        <f t="shared" si="20"/>
        <v>0.07386101196724754</v>
      </c>
      <c r="F70" s="21">
        <f>+C70-144117</f>
        <v>162771</v>
      </c>
      <c r="G70" s="21">
        <f>+D70-135388</f>
        <v>150392</v>
      </c>
      <c r="H70" s="23">
        <f t="shared" si="21"/>
        <v>0.08231155912548539</v>
      </c>
      <c r="I70" s="24">
        <f t="shared" si="22"/>
        <v>48.35359821824249</v>
      </c>
      <c r="J70" s="24">
        <f t="shared" si="23"/>
        <v>91.16574236196865</v>
      </c>
      <c r="K70" s="21">
        <v>14839139.05</v>
      </c>
      <c r="L70" s="21">
        <v>13898760.5</v>
      </c>
      <c r="M70" s="25">
        <f t="shared" si="24"/>
        <v>0.06765916644149676</v>
      </c>
      <c r="N70" s="10"/>
      <c r="R70" s="2"/>
    </row>
    <row r="71" spans="1:18" ht="15.75">
      <c r="A71" s="19"/>
      <c r="B71" s="20">
        <f>DATE(2018,1,1)</f>
        <v>43101</v>
      </c>
      <c r="C71" s="21">
        <v>266691</v>
      </c>
      <c r="D71" s="21">
        <v>275583</v>
      </c>
      <c r="E71" s="23">
        <f t="shared" si="20"/>
        <v>-0.032266141235126986</v>
      </c>
      <c r="F71" s="21">
        <f>+C71-126275</f>
        <v>140416</v>
      </c>
      <c r="G71" s="21">
        <f>+D71-132566</f>
        <v>143017</v>
      </c>
      <c r="H71" s="23">
        <f t="shared" si="21"/>
        <v>-0.018186649139612772</v>
      </c>
      <c r="I71" s="24">
        <f t="shared" si="22"/>
        <v>46.74836766145089</v>
      </c>
      <c r="J71" s="24">
        <f t="shared" si="23"/>
        <v>88.78880554922516</v>
      </c>
      <c r="K71" s="21">
        <v>12467368.92</v>
      </c>
      <c r="L71" s="21">
        <v>12186474.27</v>
      </c>
      <c r="M71" s="25">
        <f t="shared" si="24"/>
        <v>0.023049706073847098</v>
      </c>
      <c r="N71" s="10"/>
      <c r="R71" s="2"/>
    </row>
    <row r="72" spans="1:18" ht="15.75">
      <c r="A72" s="19"/>
      <c r="B72" s="20">
        <f>DATE(2018,2,1)</f>
        <v>43132</v>
      </c>
      <c r="C72" s="21">
        <v>270857</v>
      </c>
      <c r="D72" s="21">
        <v>278731</v>
      </c>
      <c r="E72" s="23">
        <f t="shared" si="20"/>
        <v>-0.028249459155960405</v>
      </c>
      <c r="F72" s="21">
        <f>+C72-128704</f>
        <v>142153</v>
      </c>
      <c r="G72" s="21">
        <f>+D72-133384</f>
        <v>145347</v>
      </c>
      <c r="H72" s="23">
        <f t="shared" si="21"/>
        <v>-0.021974997763971736</v>
      </c>
      <c r="I72" s="24">
        <f t="shared" si="22"/>
        <v>47.54318647847388</v>
      </c>
      <c r="J72" s="24">
        <f t="shared" si="23"/>
        <v>90.58834396741538</v>
      </c>
      <c r="K72" s="21">
        <v>12877404.86</v>
      </c>
      <c r="L72" s="21">
        <v>13844058.48</v>
      </c>
      <c r="M72" s="25">
        <f t="shared" si="24"/>
        <v>-0.06982443922759282</v>
      </c>
      <c r="N72" s="10"/>
      <c r="R72" s="2"/>
    </row>
    <row r="73" spans="1:18" ht="15.75">
      <c r="A73" s="19"/>
      <c r="B73" s="20">
        <f>DATE(2018,3,1)</f>
        <v>43160</v>
      </c>
      <c r="C73" s="21">
        <v>316084</v>
      </c>
      <c r="D73" s="21">
        <v>329982</v>
      </c>
      <c r="E73" s="23">
        <f t="shared" si="20"/>
        <v>-0.04211744883054227</v>
      </c>
      <c r="F73" s="21">
        <f>+C73-148506</f>
        <v>167578</v>
      </c>
      <c r="G73" s="21">
        <f>+D73-154395</f>
        <v>175587</v>
      </c>
      <c r="H73" s="23">
        <f t="shared" si="21"/>
        <v>-0.045612716203363574</v>
      </c>
      <c r="I73" s="24">
        <f t="shared" si="22"/>
        <v>49.33349233115248</v>
      </c>
      <c r="J73" s="24">
        <f t="shared" si="23"/>
        <v>93.05235526143049</v>
      </c>
      <c r="K73" s="21">
        <v>15593527.59</v>
      </c>
      <c r="L73" s="21">
        <v>16476940.38</v>
      </c>
      <c r="M73" s="25">
        <f t="shared" si="24"/>
        <v>-0.05361509901876582</v>
      </c>
      <c r="N73" s="10"/>
      <c r="R73" s="2"/>
    </row>
    <row r="74" spans="1:18" ht="15.75">
      <c r="A74" s="19"/>
      <c r="B74" s="20">
        <f>DATE(2018,4,1)</f>
        <v>43191</v>
      </c>
      <c r="C74" s="21">
        <v>286029</v>
      </c>
      <c r="D74" s="21">
        <v>309158</v>
      </c>
      <c r="E74" s="23">
        <f t="shared" si="20"/>
        <v>-0.07481287885159045</v>
      </c>
      <c r="F74" s="21">
        <f>+C74-135899</f>
        <v>150130</v>
      </c>
      <c r="G74" s="21">
        <f>+D74-147022</f>
        <v>162136</v>
      </c>
      <c r="H74" s="23">
        <f t="shared" si="21"/>
        <v>-0.07404894656337889</v>
      </c>
      <c r="I74" s="24">
        <f t="shared" si="22"/>
        <v>48.5623648301396</v>
      </c>
      <c r="J74" s="24">
        <f t="shared" si="23"/>
        <v>92.52144574701926</v>
      </c>
      <c r="K74" s="21">
        <v>13890244.65</v>
      </c>
      <c r="L74" s="21">
        <v>14760826.28</v>
      </c>
      <c r="M74" s="25">
        <f t="shared" si="24"/>
        <v>-0.058979193541460674</v>
      </c>
      <c r="N74" s="10"/>
      <c r="R74" s="2"/>
    </row>
    <row r="75" spans="1:18" ht="15.75">
      <c r="A75" s="19"/>
      <c r="B75" s="20">
        <f>DATE(2018,5,1)</f>
        <v>43221</v>
      </c>
      <c r="C75" s="21">
        <v>278772</v>
      </c>
      <c r="D75" s="21">
        <v>304960</v>
      </c>
      <c r="E75" s="23">
        <f t="shared" si="20"/>
        <v>-0.08587355718782791</v>
      </c>
      <c r="F75" s="21">
        <f>+C75-132167</f>
        <v>146605</v>
      </c>
      <c r="G75" s="21">
        <f>+D75-143125</f>
        <v>161835</v>
      </c>
      <c r="H75" s="23">
        <f t="shared" si="21"/>
        <v>-0.09410819662001421</v>
      </c>
      <c r="I75" s="24">
        <f t="shared" si="22"/>
        <v>47.81404983283831</v>
      </c>
      <c r="J75" s="24">
        <f t="shared" si="23"/>
        <v>90.91926128031105</v>
      </c>
      <c r="K75" s="21">
        <v>13329218.3</v>
      </c>
      <c r="L75" s="21">
        <v>14385483.82</v>
      </c>
      <c r="M75" s="25">
        <f t="shared" si="24"/>
        <v>-0.07342579041599447</v>
      </c>
      <c r="N75" s="10"/>
      <c r="R75" s="2"/>
    </row>
    <row r="76" spans="1:18" ht="15.75" thickBot="1">
      <c r="A76" s="38"/>
      <c r="B76" s="20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thickBot="1" thickTop="1">
      <c r="A77" s="39" t="s">
        <v>14</v>
      </c>
      <c r="B77" s="40"/>
      <c r="C77" s="41">
        <f>SUM(C65:C76)</f>
        <v>3282936</v>
      </c>
      <c r="D77" s="41">
        <f>SUM(D65:D76)</f>
        <v>3271209</v>
      </c>
      <c r="E77" s="281">
        <f>(+C77-D77)/D77</f>
        <v>0.003584913100936076</v>
      </c>
      <c r="F77" s="47">
        <f>SUM(F65:F76)</f>
        <v>1742072</v>
      </c>
      <c r="G77" s="48">
        <f>SUM(G65:G76)</f>
        <v>1728879</v>
      </c>
      <c r="H77" s="49">
        <f>(+F77-G77)/G77</f>
        <v>0.007630956243901395</v>
      </c>
      <c r="I77" s="50">
        <f>K77/C77</f>
        <v>48.6113600234668</v>
      </c>
      <c r="J77" s="51">
        <f>K77/F77</f>
        <v>91.60814468632755</v>
      </c>
      <c r="K77" s="48">
        <f>SUM(K65:K76)</f>
        <v>159587983.83</v>
      </c>
      <c r="L77" s="47">
        <f>SUM(L65:L76)</f>
        <v>154877160.6</v>
      </c>
      <c r="M77" s="44">
        <f>(+K77-L77)/L77</f>
        <v>0.030416513395197273</v>
      </c>
      <c r="N77" s="10"/>
      <c r="R77" s="2"/>
    </row>
    <row r="78" spans="1:18" ht="15.75" customHeight="1" thickTop="1">
      <c r="A78" s="273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.75">
      <c r="A79" s="274" t="s">
        <v>66</v>
      </c>
      <c r="B79" s="20">
        <f>DATE(2017,7,1)</f>
        <v>42917</v>
      </c>
      <c r="C79" s="21">
        <v>155680</v>
      </c>
      <c r="D79" s="21">
        <v>180124</v>
      </c>
      <c r="E79" s="23">
        <f aca="true" t="shared" si="25" ref="E79:E89">(+C79-D79)/D79</f>
        <v>-0.13570651329084407</v>
      </c>
      <c r="F79" s="21">
        <f>+C79-76075</f>
        <v>79605</v>
      </c>
      <c r="G79" s="21">
        <f>+D79-87090</f>
        <v>93034</v>
      </c>
      <c r="H79" s="23">
        <f aca="true" t="shared" si="26" ref="H79:H89">(+F79-G79)/G79</f>
        <v>-0.14434507814347444</v>
      </c>
      <c r="I79" s="24">
        <f aca="true" t="shared" si="27" ref="I79:I89">K79/C79</f>
        <v>36.584776336074</v>
      </c>
      <c r="J79" s="24">
        <f aca="true" t="shared" si="28" ref="J79:J89">K79/F79</f>
        <v>71.5472392437661</v>
      </c>
      <c r="K79" s="21">
        <v>5695517.98</v>
      </c>
      <c r="L79" s="21">
        <v>6090878.36</v>
      </c>
      <c r="M79" s="25">
        <f aca="true" t="shared" si="29" ref="M79:M89">(+K79-L79)/L79</f>
        <v>-0.06491024063071256</v>
      </c>
      <c r="N79" s="10"/>
      <c r="R79" s="2"/>
    </row>
    <row r="80" spans="1:18" ht="15.75">
      <c r="A80" s="274"/>
      <c r="B80" s="20">
        <f>DATE(2017,8,1)</f>
        <v>42948</v>
      </c>
      <c r="C80" s="21">
        <v>137297</v>
      </c>
      <c r="D80" s="21">
        <v>157062</v>
      </c>
      <c r="E80" s="23">
        <f t="shared" si="25"/>
        <v>-0.12584202416879958</v>
      </c>
      <c r="F80" s="21">
        <f>+C80-65122</f>
        <v>72175</v>
      </c>
      <c r="G80" s="21">
        <f>+D80-74517</f>
        <v>82545</v>
      </c>
      <c r="H80" s="23">
        <f t="shared" si="26"/>
        <v>-0.12562844509055668</v>
      </c>
      <c r="I80" s="24">
        <f t="shared" si="27"/>
        <v>37.46472952795764</v>
      </c>
      <c r="J80" s="24">
        <f t="shared" si="28"/>
        <v>71.26837506061655</v>
      </c>
      <c r="K80" s="21">
        <v>5143794.97</v>
      </c>
      <c r="L80" s="21">
        <v>5605573.68</v>
      </c>
      <c r="M80" s="25">
        <f t="shared" si="29"/>
        <v>-0.08237849261487185</v>
      </c>
      <c r="N80" s="10"/>
      <c r="R80" s="2"/>
    </row>
    <row r="81" spans="1:18" ht="15.75">
      <c r="A81" s="274"/>
      <c r="B81" s="20">
        <f>DATE(2017,9,1)</f>
        <v>42979</v>
      </c>
      <c r="C81" s="21">
        <v>151497</v>
      </c>
      <c r="D81" s="21">
        <v>163013</v>
      </c>
      <c r="E81" s="23">
        <f t="shared" si="25"/>
        <v>-0.07064467251078135</v>
      </c>
      <c r="F81" s="21">
        <f>+C81-72439</f>
        <v>79058</v>
      </c>
      <c r="G81" s="21">
        <f>+D81-75491</f>
        <v>87522</v>
      </c>
      <c r="H81" s="23">
        <f t="shared" si="26"/>
        <v>-0.09670711363999909</v>
      </c>
      <c r="I81" s="24">
        <f t="shared" si="27"/>
        <v>38.87039182294039</v>
      </c>
      <c r="J81" s="24">
        <f t="shared" si="28"/>
        <v>74.48642452376735</v>
      </c>
      <c r="K81" s="21">
        <v>5888747.75</v>
      </c>
      <c r="L81" s="21">
        <v>5567122.49</v>
      </c>
      <c r="M81" s="25">
        <f t="shared" si="29"/>
        <v>0.05777226216554825</v>
      </c>
      <c r="N81" s="10"/>
      <c r="R81" s="2"/>
    </row>
    <row r="82" spans="1:18" ht="15.75">
      <c r="A82" s="274"/>
      <c r="B82" s="20">
        <f>DATE(2017,10,1)</f>
        <v>43009</v>
      </c>
      <c r="C82" s="21">
        <v>146324</v>
      </c>
      <c r="D82" s="21">
        <v>149865</v>
      </c>
      <c r="E82" s="23">
        <f t="shared" si="25"/>
        <v>-0.02362793180529143</v>
      </c>
      <c r="F82" s="21">
        <f>+C82-70503</f>
        <v>75821</v>
      </c>
      <c r="G82" s="21">
        <f>+D82-72452</f>
        <v>77413</v>
      </c>
      <c r="H82" s="23">
        <f t="shared" si="26"/>
        <v>-0.02056502137883818</v>
      </c>
      <c r="I82" s="24">
        <f t="shared" si="27"/>
        <v>35.309381919575735</v>
      </c>
      <c r="J82" s="24">
        <f t="shared" si="28"/>
        <v>68.1422033473576</v>
      </c>
      <c r="K82" s="21">
        <v>5166610</v>
      </c>
      <c r="L82" s="21">
        <v>5218721.49</v>
      </c>
      <c r="M82" s="25">
        <f t="shared" si="29"/>
        <v>-0.009985489760251648</v>
      </c>
      <c r="N82" s="10"/>
      <c r="R82" s="2"/>
    </row>
    <row r="83" spans="1:18" ht="15.75">
      <c r="A83" s="274"/>
      <c r="B83" s="20">
        <f>DATE(2017,11,1)</f>
        <v>43040</v>
      </c>
      <c r="C83" s="21">
        <v>136794</v>
      </c>
      <c r="D83" s="21">
        <v>147842</v>
      </c>
      <c r="E83" s="23">
        <f t="shared" si="25"/>
        <v>-0.07472842629293434</v>
      </c>
      <c r="F83" s="21">
        <f>+C83-66771</f>
        <v>70023</v>
      </c>
      <c r="G83" s="21">
        <f>+D83-70415</f>
        <v>77427</v>
      </c>
      <c r="H83" s="23">
        <f t="shared" si="26"/>
        <v>-0.0956255569762486</v>
      </c>
      <c r="I83" s="24">
        <f t="shared" si="27"/>
        <v>36.99776825006945</v>
      </c>
      <c r="J83" s="24">
        <f t="shared" si="28"/>
        <v>72.27729046170543</v>
      </c>
      <c r="K83" s="21">
        <v>5061072.71</v>
      </c>
      <c r="L83" s="21">
        <v>5196102.88</v>
      </c>
      <c r="M83" s="25">
        <f t="shared" si="29"/>
        <v>-0.025986816103995218</v>
      </c>
      <c r="N83" s="10"/>
      <c r="R83" s="2"/>
    </row>
    <row r="84" spans="1:18" ht="15.75">
      <c r="A84" s="274"/>
      <c r="B84" s="20">
        <f>DATE(2017,12,1)</f>
        <v>43070</v>
      </c>
      <c r="C84" s="21">
        <v>153482</v>
      </c>
      <c r="D84" s="21">
        <v>154347</v>
      </c>
      <c r="E84" s="23">
        <f t="shared" si="25"/>
        <v>-0.005604255346718757</v>
      </c>
      <c r="F84" s="21">
        <f>+C84-73779</f>
        <v>79703</v>
      </c>
      <c r="G84" s="21">
        <f>+D84-72503</f>
        <v>81844</v>
      </c>
      <c r="H84" s="23">
        <f t="shared" si="26"/>
        <v>-0.026159522994966034</v>
      </c>
      <c r="I84" s="24">
        <f t="shared" si="27"/>
        <v>36.682315971905496</v>
      </c>
      <c r="J84" s="24">
        <f t="shared" si="28"/>
        <v>70.63818450999335</v>
      </c>
      <c r="K84" s="21">
        <v>5630075.22</v>
      </c>
      <c r="L84" s="21">
        <v>5388733.45</v>
      </c>
      <c r="M84" s="25">
        <f t="shared" si="29"/>
        <v>0.044786362554265796</v>
      </c>
      <c r="N84" s="10"/>
      <c r="R84" s="2"/>
    </row>
    <row r="85" spans="1:18" ht="15.75">
      <c r="A85" s="274"/>
      <c r="B85" s="20">
        <f>DATE(2018,1,1)</f>
        <v>43101</v>
      </c>
      <c r="C85" s="21">
        <v>133357</v>
      </c>
      <c r="D85" s="21">
        <v>138565</v>
      </c>
      <c r="E85" s="23">
        <f t="shared" si="25"/>
        <v>-0.03758524880020207</v>
      </c>
      <c r="F85" s="21">
        <f>+C85-65017</f>
        <v>68340</v>
      </c>
      <c r="G85" s="21">
        <f>+D85-68255</f>
        <v>70310</v>
      </c>
      <c r="H85" s="23">
        <f t="shared" si="26"/>
        <v>-0.028018774000853362</v>
      </c>
      <c r="I85" s="24">
        <f t="shared" si="27"/>
        <v>34.19650239582474</v>
      </c>
      <c r="J85" s="24">
        <f t="shared" si="28"/>
        <v>66.73021612525606</v>
      </c>
      <c r="K85" s="21">
        <v>4560342.97</v>
      </c>
      <c r="L85" s="21">
        <v>5246601.47</v>
      </c>
      <c r="M85" s="25">
        <f t="shared" si="29"/>
        <v>-0.13080057708290163</v>
      </c>
      <c r="N85" s="10"/>
      <c r="R85" s="2"/>
    </row>
    <row r="86" spans="1:18" ht="15.75">
      <c r="A86" s="274"/>
      <c r="B86" s="20">
        <f>DATE(2018,2,1)</f>
        <v>43132</v>
      </c>
      <c r="C86" s="21">
        <v>147114</v>
      </c>
      <c r="D86" s="21">
        <v>152112</v>
      </c>
      <c r="E86" s="23">
        <f t="shared" si="25"/>
        <v>-0.03285736825497002</v>
      </c>
      <c r="F86" s="21">
        <f>+C86-72403</f>
        <v>74711</v>
      </c>
      <c r="G86" s="21">
        <f>+D86-73694</f>
        <v>78418</v>
      </c>
      <c r="H86" s="23">
        <f t="shared" si="26"/>
        <v>-0.04727230992884287</v>
      </c>
      <c r="I86" s="24">
        <f t="shared" si="27"/>
        <v>36.43567702597986</v>
      </c>
      <c r="J86" s="24">
        <f t="shared" si="28"/>
        <v>71.74576956539198</v>
      </c>
      <c r="K86" s="21">
        <v>5360198.19</v>
      </c>
      <c r="L86" s="21">
        <v>5660374.15</v>
      </c>
      <c r="M86" s="25">
        <f t="shared" si="29"/>
        <v>-0.053031116326471096</v>
      </c>
      <c r="N86" s="10"/>
      <c r="R86" s="2"/>
    </row>
    <row r="87" spans="1:18" ht="15.75">
      <c r="A87" s="274"/>
      <c r="B87" s="20">
        <f>DATE(2018,3,1)</f>
        <v>43160</v>
      </c>
      <c r="C87" s="21">
        <v>167073</v>
      </c>
      <c r="D87" s="21">
        <v>155706</v>
      </c>
      <c r="E87" s="23">
        <f t="shared" si="25"/>
        <v>0.07300296713036107</v>
      </c>
      <c r="F87" s="21">
        <f>+C87-81355</f>
        <v>85718</v>
      </c>
      <c r="G87" s="21">
        <f>+D87-74473</f>
        <v>81233</v>
      </c>
      <c r="H87" s="23">
        <f t="shared" si="26"/>
        <v>0.05521155195548607</v>
      </c>
      <c r="I87" s="24">
        <f t="shared" si="27"/>
        <v>39.41183979458081</v>
      </c>
      <c r="J87" s="24">
        <f t="shared" si="28"/>
        <v>76.81763818567862</v>
      </c>
      <c r="K87" s="21">
        <v>6584654.31</v>
      </c>
      <c r="L87" s="21">
        <v>6002268</v>
      </c>
      <c r="M87" s="25">
        <f t="shared" si="29"/>
        <v>0.09702770852617704</v>
      </c>
      <c r="N87" s="10"/>
      <c r="R87" s="2"/>
    </row>
    <row r="88" spans="1:18" ht="15.75">
      <c r="A88" s="274"/>
      <c r="B88" s="20">
        <f>DATE(2018,4,1)</f>
        <v>43191</v>
      </c>
      <c r="C88" s="21">
        <v>137732</v>
      </c>
      <c r="D88" s="21">
        <v>138822</v>
      </c>
      <c r="E88" s="23">
        <f t="shared" si="25"/>
        <v>-0.007851781417930876</v>
      </c>
      <c r="F88" s="21">
        <f>+C88-67146</f>
        <v>70586</v>
      </c>
      <c r="G88" s="21">
        <f>+D88-67488</f>
        <v>71334</v>
      </c>
      <c r="H88" s="23">
        <f t="shared" si="26"/>
        <v>-0.01048588330950178</v>
      </c>
      <c r="I88" s="24">
        <f t="shared" si="27"/>
        <v>38.682629381697794</v>
      </c>
      <c r="J88" s="24">
        <f t="shared" si="28"/>
        <v>75.4800655937438</v>
      </c>
      <c r="K88" s="21">
        <v>5327835.91</v>
      </c>
      <c r="L88" s="21">
        <v>5409935.04</v>
      </c>
      <c r="M88" s="25">
        <f t="shared" si="29"/>
        <v>-0.015175622145732806</v>
      </c>
      <c r="N88" s="10"/>
      <c r="R88" s="2"/>
    </row>
    <row r="89" spans="1:18" ht="15.75">
      <c r="A89" s="274"/>
      <c r="B89" s="20">
        <f>DATE(2018,5,1)</f>
        <v>43221</v>
      </c>
      <c r="C89" s="21">
        <v>130775</v>
      </c>
      <c r="D89" s="21">
        <v>142828</v>
      </c>
      <c r="E89" s="23">
        <f t="shared" si="25"/>
        <v>-0.08438821519589997</v>
      </c>
      <c r="F89" s="21">
        <f>+C89-62861</f>
        <v>67914</v>
      </c>
      <c r="G89" s="21">
        <f>+D89-69339</f>
        <v>73489</v>
      </c>
      <c r="H89" s="23">
        <f t="shared" si="26"/>
        <v>-0.0758616935867953</v>
      </c>
      <c r="I89" s="24">
        <f t="shared" si="27"/>
        <v>40.03107581724336</v>
      </c>
      <c r="J89" s="24">
        <f t="shared" si="28"/>
        <v>77.08372264923285</v>
      </c>
      <c r="K89" s="21">
        <v>5235063.94</v>
      </c>
      <c r="L89" s="21">
        <v>5302326.12</v>
      </c>
      <c r="M89" s="25">
        <f t="shared" si="29"/>
        <v>-0.012685409851780242</v>
      </c>
      <c r="N89" s="10"/>
      <c r="R89" s="2"/>
    </row>
    <row r="90" spans="1:18" ht="15.75" customHeight="1" thickBot="1">
      <c r="A90" s="19"/>
      <c r="B90" s="20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25" customHeight="1" thickBot="1" thickTop="1">
      <c r="A91" s="39" t="s">
        <v>14</v>
      </c>
      <c r="B91" s="52"/>
      <c r="C91" s="47">
        <f>SUM(C79:C90)</f>
        <v>1597125</v>
      </c>
      <c r="D91" s="48">
        <f>SUM(D79:D90)</f>
        <v>1680286</v>
      </c>
      <c r="E91" s="281">
        <f>(+C91-D91)/D91</f>
        <v>-0.049492169785381776</v>
      </c>
      <c r="F91" s="48">
        <f>SUM(F79:F90)</f>
        <v>823654</v>
      </c>
      <c r="G91" s="47">
        <f>SUM(G79:G90)</f>
        <v>874569</v>
      </c>
      <c r="H91" s="46">
        <f>(+F91-G91)/G91</f>
        <v>-0.05821724758138008</v>
      </c>
      <c r="I91" s="51">
        <f>K91/C91</f>
        <v>37.3508109571887</v>
      </c>
      <c r="J91" s="50">
        <f>K91/F91</f>
        <v>72.42593850087538</v>
      </c>
      <c r="K91" s="47">
        <f>SUM(K79:K90)</f>
        <v>59653913.95</v>
      </c>
      <c r="L91" s="48">
        <f>SUM(L79:L90)</f>
        <v>60688637.129999995</v>
      </c>
      <c r="M91" s="44">
        <f>(+K91-L91)/L91</f>
        <v>-0.017049702035383182</v>
      </c>
      <c r="N91" s="10"/>
      <c r="R91" s="2"/>
    </row>
    <row r="92" spans="1:18" ht="15.75" customHeight="1" thickTop="1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>
      <c r="A93" s="19" t="s">
        <v>17</v>
      </c>
      <c r="B93" s="20">
        <f>DATE(2017,7,1)</f>
        <v>42917</v>
      </c>
      <c r="C93" s="21">
        <v>176619</v>
      </c>
      <c r="D93" s="21">
        <v>186981</v>
      </c>
      <c r="E93" s="23">
        <f aca="true" t="shared" si="30" ref="E93:E103">(+C93-D93)/D93</f>
        <v>-0.05541739535032971</v>
      </c>
      <c r="F93" s="21">
        <f>+C93-82680</f>
        <v>93939</v>
      </c>
      <c r="G93" s="21">
        <f>+D93-86212</f>
        <v>100769</v>
      </c>
      <c r="H93" s="23">
        <f aca="true" t="shared" si="31" ref="H93:H103">(+F93-G93)/G93</f>
        <v>-0.06777878117278131</v>
      </c>
      <c r="I93" s="24">
        <f aca="true" t="shared" si="32" ref="I93:I103">K93/C93</f>
        <v>35.01759674780177</v>
      </c>
      <c r="J93" s="24">
        <f aca="true" t="shared" si="33" ref="J93:J103">K93/F93</f>
        <v>65.83818137301866</v>
      </c>
      <c r="K93" s="21">
        <v>6184772.92</v>
      </c>
      <c r="L93" s="21">
        <v>6390595.25</v>
      </c>
      <c r="M93" s="25">
        <f aca="true" t="shared" si="34" ref="M93:M103">(+K93-L93)/L93</f>
        <v>-0.03220706709597984</v>
      </c>
      <c r="N93" s="10"/>
      <c r="R93" s="2"/>
    </row>
    <row r="94" spans="1:18" ht="15.75">
      <c r="A94" s="19"/>
      <c r="B94" s="20">
        <f>DATE(2017,8,1)</f>
        <v>42948</v>
      </c>
      <c r="C94" s="21">
        <v>166602</v>
      </c>
      <c r="D94" s="21">
        <v>177226</v>
      </c>
      <c r="E94" s="23">
        <f t="shared" si="30"/>
        <v>-0.05994605757620214</v>
      </c>
      <c r="F94" s="21">
        <f>+C94-77233</f>
        <v>89369</v>
      </c>
      <c r="G94" s="21">
        <f>+D94-81305</f>
        <v>95921</v>
      </c>
      <c r="H94" s="23">
        <f t="shared" si="31"/>
        <v>-0.06830621031890827</v>
      </c>
      <c r="I94" s="24">
        <f t="shared" si="32"/>
        <v>35.4879793159746</v>
      </c>
      <c r="J94" s="24">
        <f t="shared" si="33"/>
        <v>66.15681421969587</v>
      </c>
      <c r="K94" s="21">
        <v>5912368.33</v>
      </c>
      <c r="L94" s="21">
        <v>6124719.61</v>
      </c>
      <c r="M94" s="25">
        <f t="shared" si="34"/>
        <v>-0.034671183910735835</v>
      </c>
      <c r="N94" s="10"/>
      <c r="R94" s="2"/>
    </row>
    <row r="95" spans="1:18" ht="15.75">
      <c r="A95" s="19"/>
      <c r="B95" s="20">
        <f>DATE(2017,9,1)</f>
        <v>42979</v>
      </c>
      <c r="C95" s="21">
        <v>169194</v>
      </c>
      <c r="D95" s="21">
        <v>170326</v>
      </c>
      <c r="E95" s="23">
        <f t="shared" si="30"/>
        <v>-0.006646078696147388</v>
      </c>
      <c r="F95" s="21">
        <f>+C95-79368</f>
        <v>89826</v>
      </c>
      <c r="G95" s="21">
        <f>+D95-79229</f>
        <v>91097</v>
      </c>
      <c r="H95" s="23">
        <f t="shared" si="31"/>
        <v>-0.0139521608834539</v>
      </c>
      <c r="I95" s="24">
        <f t="shared" si="32"/>
        <v>34.892878825490264</v>
      </c>
      <c r="J95" s="24">
        <f t="shared" si="33"/>
        <v>65.72335114554807</v>
      </c>
      <c r="K95" s="21">
        <v>5903665.74</v>
      </c>
      <c r="L95" s="21">
        <v>5838814.34</v>
      </c>
      <c r="M95" s="25">
        <f t="shared" si="34"/>
        <v>0.011106946757276132</v>
      </c>
      <c r="N95" s="10"/>
      <c r="R95" s="2"/>
    </row>
    <row r="96" spans="1:18" ht="15.75">
      <c r="A96" s="19"/>
      <c r="B96" s="20">
        <f>DATE(2017,10,1)</f>
        <v>43009</v>
      </c>
      <c r="C96" s="21">
        <v>167767</v>
      </c>
      <c r="D96" s="21">
        <v>175657</v>
      </c>
      <c r="E96" s="23">
        <f t="shared" si="30"/>
        <v>-0.04491708272371724</v>
      </c>
      <c r="F96" s="21">
        <f>+C96-77884</f>
        <v>89883</v>
      </c>
      <c r="G96" s="21">
        <f>+D96-84134</f>
        <v>91523</v>
      </c>
      <c r="H96" s="23">
        <f t="shared" si="31"/>
        <v>-0.017918993040000875</v>
      </c>
      <c r="I96" s="24">
        <f t="shared" si="32"/>
        <v>34.45476500146036</v>
      </c>
      <c r="J96" s="24">
        <f t="shared" si="33"/>
        <v>64.30996473192928</v>
      </c>
      <c r="K96" s="21">
        <v>5780372.56</v>
      </c>
      <c r="L96" s="21">
        <v>6097419.37</v>
      </c>
      <c r="M96" s="25">
        <f t="shared" si="34"/>
        <v>-0.051996884380285054</v>
      </c>
      <c r="N96" s="10"/>
      <c r="R96" s="2"/>
    </row>
    <row r="97" spans="1:18" ht="15.75">
      <c r="A97" s="19"/>
      <c r="B97" s="20">
        <f>DATE(2017,11,1)</f>
        <v>43040</v>
      </c>
      <c r="C97" s="21">
        <v>158513</v>
      </c>
      <c r="D97" s="21">
        <v>164706</v>
      </c>
      <c r="E97" s="23">
        <f t="shared" si="30"/>
        <v>-0.037600330285478364</v>
      </c>
      <c r="F97" s="21">
        <f>+C97-75019</f>
        <v>83494</v>
      </c>
      <c r="G97" s="21">
        <f>+D97-79591</f>
        <v>85115</v>
      </c>
      <c r="H97" s="23">
        <f t="shared" si="31"/>
        <v>-0.01904482171180168</v>
      </c>
      <c r="I97" s="24">
        <f t="shared" si="32"/>
        <v>36.12939885056746</v>
      </c>
      <c r="J97" s="24">
        <f t="shared" si="33"/>
        <v>68.59150837185906</v>
      </c>
      <c r="K97" s="21">
        <v>5726979.4</v>
      </c>
      <c r="L97" s="21">
        <v>5895263.92</v>
      </c>
      <c r="M97" s="25">
        <f t="shared" si="34"/>
        <v>-0.028545714370663756</v>
      </c>
      <c r="N97" s="10"/>
      <c r="R97" s="2"/>
    </row>
    <row r="98" spans="1:18" ht="15.75">
      <c r="A98" s="19"/>
      <c r="B98" s="20">
        <f>DATE(2017,12,1)</f>
        <v>43070</v>
      </c>
      <c r="C98" s="21">
        <v>166668</v>
      </c>
      <c r="D98" s="21">
        <v>171124</v>
      </c>
      <c r="E98" s="23">
        <f t="shared" si="30"/>
        <v>-0.026039597017367522</v>
      </c>
      <c r="F98" s="21">
        <f>+C98-80383</f>
        <v>86285</v>
      </c>
      <c r="G98" s="21">
        <f>+D98-82050</f>
        <v>89074</v>
      </c>
      <c r="H98" s="23">
        <f t="shared" si="31"/>
        <v>-0.03131104474930956</v>
      </c>
      <c r="I98" s="24">
        <f t="shared" si="32"/>
        <v>35.4193077255382</v>
      </c>
      <c r="J98" s="24">
        <f t="shared" si="33"/>
        <v>68.4158912904908</v>
      </c>
      <c r="K98" s="21">
        <v>5903265.18</v>
      </c>
      <c r="L98" s="21">
        <v>6108577.06</v>
      </c>
      <c r="M98" s="25">
        <f t="shared" si="34"/>
        <v>-0.03361042645175371</v>
      </c>
      <c r="N98" s="10"/>
      <c r="R98" s="2"/>
    </row>
    <row r="99" spans="1:18" ht="15.75">
      <c r="A99" s="19"/>
      <c r="B99" s="20">
        <f>DATE(2018,1,1)</f>
        <v>43101</v>
      </c>
      <c r="C99" s="21">
        <v>147576</v>
      </c>
      <c r="D99" s="21">
        <v>166488</v>
      </c>
      <c r="E99" s="23">
        <f t="shared" si="30"/>
        <v>-0.11359377252414589</v>
      </c>
      <c r="F99" s="21">
        <f>+C99-71568</f>
        <v>76008</v>
      </c>
      <c r="G99" s="21">
        <f>+D99-79943</f>
        <v>86545</v>
      </c>
      <c r="H99" s="23">
        <f t="shared" si="31"/>
        <v>-0.12175168987232075</v>
      </c>
      <c r="I99" s="24">
        <f t="shared" si="32"/>
        <v>35.84069476066569</v>
      </c>
      <c r="J99" s="24">
        <f t="shared" si="33"/>
        <v>69.58775878854857</v>
      </c>
      <c r="K99" s="21">
        <v>5289226.37</v>
      </c>
      <c r="L99" s="21">
        <v>5638935.65</v>
      </c>
      <c r="M99" s="25">
        <f t="shared" si="34"/>
        <v>-0.06201689497910838</v>
      </c>
      <c r="N99" s="10"/>
      <c r="R99" s="2"/>
    </row>
    <row r="100" spans="1:18" ht="15.75">
      <c r="A100" s="19"/>
      <c r="B100" s="20">
        <f>DATE(2018,2,1)</f>
        <v>43132</v>
      </c>
      <c r="C100" s="21">
        <v>152976</v>
      </c>
      <c r="D100" s="21">
        <v>177136</v>
      </c>
      <c r="E100" s="23">
        <f t="shared" si="30"/>
        <v>-0.1363923764790895</v>
      </c>
      <c r="F100" s="21">
        <f>+C100-75431</f>
        <v>77545</v>
      </c>
      <c r="G100" s="21">
        <f>+D100-84594</f>
        <v>92542</v>
      </c>
      <c r="H100" s="23">
        <f t="shared" si="31"/>
        <v>-0.1620561474789825</v>
      </c>
      <c r="I100" s="24">
        <f t="shared" si="32"/>
        <v>35.82300524265244</v>
      </c>
      <c r="J100" s="24">
        <f t="shared" si="33"/>
        <v>70.66941840221807</v>
      </c>
      <c r="K100" s="21">
        <v>5480060.05</v>
      </c>
      <c r="L100" s="21">
        <v>6392111.96</v>
      </c>
      <c r="M100" s="25">
        <f t="shared" si="34"/>
        <v>-0.14268396982208054</v>
      </c>
      <c r="N100" s="10"/>
      <c r="R100" s="2"/>
    </row>
    <row r="101" spans="1:18" ht="15.75">
      <c r="A101" s="19"/>
      <c r="B101" s="20">
        <f>DATE(2018,3,1)</f>
        <v>43160</v>
      </c>
      <c r="C101" s="21">
        <v>186939</v>
      </c>
      <c r="D101" s="21">
        <v>199079</v>
      </c>
      <c r="E101" s="23">
        <f t="shared" si="30"/>
        <v>-0.06098081666072263</v>
      </c>
      <c r="F101" s="21">
        <f>+C101-91616</f>
        <v>95323</v>
      </c>
      <c r="G101" s="21">
        <f>+D101-94435</f>
        <v>104644</v>
      </c>
      <c r="H101" s="23">
        <f t="shared" si="31"/>
        <v>-0.08907342991475861</v>
      </c>
      <c r="I101" s="24">
        <f t="shared" si="32"/>
        <v>36.43876644252938</v>
      </c>
      <c r="J101" s="24">
        <f t="shared" si="33"/>
        <v>71.46047186932849</v>
      </c>
      <c r="K101" s="21">
        <v>6811826.56</v>
      </c>
      <c r="L101" s="21">
        <v>7457849.64</v>
      </c>
      <c r="M101" s="25">
        <f t="shared" si="34"/>
        <v>-0.08662323741887616</v>
      </c>
      <c r="N101" s="10"/>
      <c r="R101" s="2"/>
    </row>
    <row r="102" spans="1:18" ht="15.75">
      <c r="A102" s="19"/>
      <c r="B102" s="20">
        <f>DATE(2018,4,1)</f>
        <v>43191</v>
      </c>
      <c r="C102" s="21">
        <v>157952</v>
      </c>
      <c r="D102" s="21">
        <v>189896</v>
      </c>
      <c r="E102" s="23">
        <f t="shared" si="30"/>
        <v>-0.16821839322576568</v>
      </c>
      <c r="F102" s="21">
        <f>+C102-75399</f>
        <v>82553</v>
      </c>
      <c r="G102" s="21">
        <f>+D102-88922</f>
        <v>100974</v>
      </c>
      <c r="H102" s="23">
        <f t="shared" si="31"/>
        <v>-0.18243310159050843</v>
      </c>
      <c r="I102" s="24">
        <f t="shared" si="32"/>
        <v>37.160334785251216</v>
      </c>
      <c r="J102" s="24">
        <f t="shared" si="33"/>
        <v>71.10037430499194</v>
      </c>
      <c r="K102" s="21">
        <v>5869549.2</v>
      </c>
      <c r="L102" s="21">
        <v>6606363.93</v>
      </c>
      <c r="M102" s="25">
        <f t="shared" si="34"/>
        <v>-0.11153105366388733</v>
      </c>
      <c r="N102" s="10"/>
      <c r="R102" s="2"/>
    </row>
    <row r="103" spans="1:18" ht="15.75">
      <c r="A103" s="19"/>
      <c r="B103" s="20">
        <f>DATE(2018,5,1)</f>
        <v>43221</v>
      </c>
      <c r="C103" s="21">
        <v>157817</v>
      </c>
      <c r="D103" s="21">
        <v>179234</v>
      </c>
      <c r="E103" s="23">
        <f t="shared" si="30"/>
        <v>-0.11949183748619123</v>
      </c>
      <c r="F103" s="21">
        <f>+C103-74068</f>
        <v>83749</v>
      </c>
      <c r="G103" s="21">
        <f>+D103-80909</f>
        <v>98325</v>
      </c>
      <c r="H103" s="23">
        <f t="shared" si="31"/>
        <v>-0.14824307144673277</v>
      </c>
      <c r="I103" s="24">
        <f t="shared" si="32"/>
        <v>34.82316803639659</v>
      </c>
      <c r="J103" s="24">
        <f t="shared" si="33"/>
        <v>65.620937682838</v>
      </c>
      <c r="K103" s="21">
        <v>5495687.91</v>
      </c>
      <c r="L103" s="21">
        <v>6238154.49</v>
      </c>
      <c r="M103" s="25">
        <f t="shared" si="34"/>
        <v>-0.11902022965128586</v>
      </c>
      <c r="N103" s="10"/>
      <c r="R103" s="2"/>
    </row>
    <row r="104" spans="1:18" ht="15.75" customHeight="1" thickBot="1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7.25" customHeight="1" thickBot="1" thickTop="1">
      <c r="A105" s="39" t="s">
        <v>14</v>
      </c>
      <c r="B105" s="52"/>
      <c r="C105" s="47">
        <f>SUM(C93:C104)</f>
        <v>1808623</v>
      </c>
      <c r="D105" s="48">
        <f>SUM(D93:D104)</f>
        <v>1957853</v>
      </c>
      <c r="E105" s="281">
        <f>(+C105-D105)/D105</f>
        <v>-0.07622124847983991</v>
      </c>
      <c r="F105" s="48">
        <f>SUM(F93:F104)</f>
        <v>947974</v>
      </c>
      <c r="G105" s="47">
        <f>SUM(G93:G104)</f>
        <v>1036529</v>
      </c>
      <c r="H105" s="53">
        <f>(+F105-G105)/G105</f>
        <v>-0.08543417502066995</v>
      </c>
      <c r="I105" s="51">
        <f>K105/C105</f>
        <v>35.583852588405655</v>
      </c>
      <c r="J105" s="50">
        <f>K105/F105</f>
        <v>67.88980944625064</v>
      </c>
      <c r="K105" s="47">
        <f>SUM(K93:K104)</f>
        <v>64357774.22</v>
      </c>
      <c r="L105" s="48">
        <f>SUM(L93:L104)</f>
        <v>68788805.22</v>
      </c>
      <c r="M105" s="44">
        <f>(+K105-L105)/L105</f>
        <v>-0.06441500162459138</v>
      </c>
      <c r="N105" s="10"/>
      <c r="R105" s="2"/>
    </row>
    <row r="106" spans="1:18" ht="15.75" customHeight="1" thickTop="1">
      <c r="A106" s="19"/>
      <c r="B106" s="45"/>
      <c r="C106" s="21"/>
      <c r="D106" s="21"/>
      <c r="E106" s="23"/>
      <c r="F106" s="21"/>
      <c r="G106" s="21"/>
      <c r="H106" s="23"/>
      <c r="I106" s="24"/>
      <c r="J106" s="24"/>
      <c r="K106" s="21"/>
      <c r="L106" s="21"/>
      <c r="M106" s="25"/>
      <c r="N106" s="10"/>
      <c r="R106" s="2"/>
    </row>
    <row r="107" spans="1:18" ht="15.75" customHeight="1">
      <c r="A107" s="19" t="s">
        <v>67</v>
      </c>
      <c r="B107" s="20">
        <f>DATE(2017,7,1)</f>
        <v>42917</v>
      </c>
      <c r="C107" s="21">
        <v>366754</v>
      </c>
      <c r="D107" s="21">
        <v>319321</v>
      </c>
      <c r="E107" s="23">
        <f aca="true" t="shared" si="35" ref="E107:E117">(+C107-D107)/D107</f>
        <v>0.14854331534725246</v>
      </c>
      <c r="F107" s="21">
        <f>+C107-155073</f>
        <v>211681</v>
      </c>
      <c r="G107" s="21">
        <f>+D107-152762</f>
        <v>166559</v>
      </c>
      <c r="H107" s="23">
        <f aca="true" t="shared" si="36" ref="H107:H117">(+F107-G107)/G107</f>
        <v>0.27090700592582806</v>
      </c>
      <c r="I107" s="24">
        <f aca="true" t="shared" si="37" ref="I107:I117">K107/C107</f>
        <v>34.16795470533382</v>
      </c>
      <c r="J107" s="24">
        <f aca="true" t="shared" si="38" ref="J107:J117">K107/F107</f>
        <v>59.19867186946396</v>
      </c>
      <c r="K107" s="21">
        <v>12531234.06</v>
      </c>
      <c r="L107" s="21">
        <v>11457006.41</v>
      </c>
      <c r="M107" s="25">
        <f aca="true" t="shared" si="39" ref="M107:M117">(+K107-L107)/L107</f>
        <v>0.09376163472007697</v>
      </c>
      <c r="N107" s="10"/>
      <c r="R107" s="2"/>
    </row>
    <row r="108" spans="1:18" ht="15.75" customHeight="1">
      <c r="A108" s="19"/>
      <c r="B108" s="20">
        <f>DATE(2017,8,1)</f>
        <v>42948</v>
      </c>
      <c r="C108" s="21">
        <v>332593</v>
      </c>
      <c r="D108" s="21">
        <v>298389</v>
      </c>
      <c r="E108" s="23">
        <f t="shared" si="35"/>
        <v>0.11462889047518508</v>
      </c>
      <c r="F108" s="21">
        <f>+C108-143450</f>
        <v>189143</v>
      </c>
      <c r="G108" s="21">
        <f>+D108-153359</f>
        <v>145030</v>
      </c>
      <c r="H108" s="23">
        <f t="shared" si="36"/>
        <v>0.3041646555884989</v>
      </c>
      <c r="I108" s="24">
        <f t="shared" si="37"/>
        <v>37.333749387389396</v>
      </c>
      <c r="J108" s="24">
        <f t="shared" si="38"/>
        <v>65.64844435162814</v>
      </c>
      <c r="K108" s="21">
        <v>12416943.71</v>
      </c>
      <c r="L108" s="21">
        <v>10752916.18</v>
      </c>
      <c r="M108" s="25">
        <f t="shared" si="39"/>
        <v>0.15475127882936787</v>
      </c>
      <c r="N108" s="10"/>
      <c r="R108" s="2"/>
    </row>
    <row r="109" spans="1:18" ht="15.75" customHeight="1">
      <c r="A109" s="19"/>
      <c r="B109" s="20">
        <f>DATE(2017,9,1)</f>
        <v>42979</v>
      </c>
      <c r="C109" s="21">
        <v>334430</v>
      </c>
      <c r="D109" s="21">
        <v>290533</v>
      </c>
      <c r="E109" s="23">
        <f t="shared" si="35"/>
        <v>0.1510912701827331</v>
      </c>
      <c r="F109" s="21">
        <f>+C109-144819</f>
        <v>189611</v>
      </c>
      <c r="G109" s="21">
        <f>+D109-140086</f>
        <v>150447</v>
      </c>
      <c r="H109" s="23">
        <f t="shared" si="36"/>
        <v>0.2603175869242989</v>
      </c>
      <c r="I109" s="24">
        <f t="shared" si="37"/>
        <v>35.36166635768322</v>
      </c>
      <c r="J109" s="24">
        <f t="shared" si="38"/>
        <v>62.369810190337056</v>
      </c>
      <c r="K109" s="21">
        <v>11826002.08</v>
      </c>
      <c r="L109" s="21">
        <v>10750631.65</v>
      </c>
      <c r="M109" s="25">
        <f t="shared" si="39"/>
        <v>0.10002858111132472</v>
      </c>
      <c r="N109" s="10"/>
      <c r="R109" s="2"/>
    </row>
    <row r="110" spans="1:18" ht="15.75" customHeight="1">
      <c r="A110" s="19"/>
      <c r="B110" s="20">
        <f>DATE(2017,10,1)</f>
        <v>43009</v>
      </c>
      <c r="C110" s="21">
        <v>316813</v>
      </c>
      <c r="D110" s="21">
        <v>282134</v>
      </c>
      <c r="E110" s="23">
        <f t="shared" si="35"/>
        <v>0.1229167700454394</v>
      </c>
      <c r="F110" s="21">
        <f>+C110-139997</f>
        <v>176816</v>
      </c>
      <c r="G110" s="21">
        <f>+D110-133884</f>
        <v>148250</v>
      </c>
      <c r="H110" s="23">
        <f t="shared" si="36"/>
        <v>0.19268802698145027</v>
      </c>
      <c r="I110" s="24">
        <f t="shared" si="37"/>
        <v>35.339736532276135</v>
      </c>
      <c r="J110" s="24">
        <f t="shared" si="38"/>
        <v>63.320558942629624</v>
      </c>
      <c r="K110" s="21">
        <v>11196087.95</v>
      </c>
      <c r="L110" s="21">
        <v>10577325.14</v>
      </c>
      <c r="M110" s="25">
        <f t="shared" si="39"/>
        <v>0.05849898739143785</v>
      </c>
      <c r="N110" s="10"/>
      <c r="R110" s="2"/>
    </row>
    <row r="111" spans="1:18" ht="15.75" customHeight="1">
      <c r="A111" s="19"/>
      <c r="B111" s="20">
        <f>DATE(2017,11,1)</f>
        <v>43040</v>
      </c>
      <c r="C111" s="21">
        <v>320184</v>
      </c>
      <c r="D111" s="21">
        <v>260391</v>
      </c>
      <c r="E111" s="23">
        <f t="shared" si="35"/>
        <v>0.22962775211124808</v>
      </c>
      <c r="F111" s="21">
        <f>+C111-141719</f>
        <v>178465</v>
      </c>
      <c r="G111" s="21">
        <f>+D111-121768</f>
        <v>138623</v>
      </c>
      <c r="H111" s="23">
        <f t="shared" si="36"/>
        <v>0.2874126227249446</v>
      </c>
      <c r="I111" s="24">
        <f t="shared" si="37"/>
        <v>37.56731151462909</v>
      </c>
      <c r="J111" s="24">
        <f t="shared" si="38"/>
        <v>67.39950169501023</v>
      </c>
      <c r="K111" s="21">
        <v>12028452.07</v>
      </c>
      <c r="L111" s="21">
        <v>10188193.43</v>
      </c>
      <c r="M111" s="25">
        <f t="shared" si="39"/>
        <v>0.1806265902432911</v>
      </c>
      <c r="N111" s="10"/>
      <c r="R111" s="2"/>
    </row>
    <row r="112" spans="1:18" ht="15.75" customHeight="1">
      <c r="A112" s="19"/>
      <c r="B112" s="20">
        <f>DATE(2017,12,1)</f>
        <v>43070</v>
      </c>
      <c r="C112" s="21">
        <v>365944</v>
      </c>
      <c r="D112" s="21">
        <v>286075</v>
      </c>
      <c r="E112" s="23">
        <f t="shared" si="35"/>
        <v>0.27918902385738004</v>
      </c>
      <c r="F112" s="21">
        <f>+C112-164571</f>
        <v>201373</v>
      </c>
      <c r="G112" s="21">
        <f>+D112-132124</f>
        <v>153951</v>
      </c>
      <c r="H112" s="23">
        <f t="shared" si="36"/>
        <v>0.30803307545907466</v>
      </c>
      <c r="I112" s="24">
        <f t="shared" si="37"/>
        <v>35.84297714950922</v>
      </c>
      <c r="J112" s="24">
        <f t="shared" si="38"/>
        <v>65.13545723607434</v>
      </c>
      <c r="K112" s="21">
        <v>13116522.43</v>
      </c>
      <c r="L112" s="21">
        <v>11400564.6</v>
      </c>
      <c r="M112" s="25">
        <f t="shared" si="39"/>
        <v>0.1505151622052122</v>
      </c>
      <c r="N112" s="10"/>
      <c r="R112" s="2"/>
    </row>
    <row r="113" spans="1:18" ht="15.75" customHeight="1">
      <c r="A113" s="19"/>
      <c r="B113" s="20">
        <f>DATE(2018,1,1)</f>
        <v>43101</v>
      </c>
      <c r="C113" s="21">
        <v>343002</v>
      </c>
      <c r="D113" s="21">
        <v>275836</v>
      </c>
      <c r="E113" s="23">
        <f t="shared" si="35"/>
        <v>0.24349976072738874</v>
      </c>
      <c r="F113" s="21">
        <f>+C113-149849</f>
        <v>193153</v>
      </c>
      <c r="G113" s="21">
        <f>+D113-127332</f>
        <v>148504</v>
      </c>
      <c r="H113" s="23">
        <f t="shared" si="36"/>
        <v>0.30065856811937725</v>
      </c>
      <c r="I113" s="24">
        <f t="shared" si="37"/>
        <v>35.74071288214063</v>
      </c>
      <c r="J113" s="24">
        <f t="shared" si="38"/>
        <v>63.46852495172221</v>
      </c>
      <c r="K113" s="21">
        <v>12259136</v>
      </c>
      <c r="L113" s="21">
        <v>10343421.21</v>
      </c>
      <c r="M113" s="25">
        <f t="shared" si="39"/>
        <v>0.18521094240538996</v>
      </c>
      <c r="N113" s="10"/>
      <c r="R113" s="2"/>
    </row>
    <row r="114" spans="1:18" ht="15.75" customHeight="1">
      <c r="A114" s="19"/>
      <c r="B114" s="20">
        <f>DATE(2018,2,1)</f>
        <v>43132</v>
      </c>
      <c r="C114" s="21">
        <v>374884</v>
      </c>
      <c r="D114" s="21">
        <v>311664</v>
      </c>
      <c r="E114" s="23">
        <f t="shared" si="35"/>
        <v>0.2028466553724524</v>
      </c>
      <c r="F114" s="21">
        <f>+C114-169663</f>
        <v>205221</v>
      </c>
      <c r="G114" s="21">
        <f>+D114-142608</f>
        <v>169056</v>
      </c>
      <c r="H114" s="23">
        <f t="shared" si="36"/>
        <v>0.2139231970471323</v>
      </c>
      <c r="I114" s="24">
        <f t="shared" si="37"/>
        <v>37.13276722932961</v>
      </c>
      <c r="J114" s="24">
        <f t="shared" si="38"/>
        <v>67.831656165792</v>
      </c>
      <c r="K114" s="21">
        <v>13920480.31</v>
      </c>
      <c r="L114" s="21">
        <v>12217808.24</v>
      </c>
      <c r="M114" s="25">
        <f t="shared" si="39"/>
        <v>0.13935986197799421</v>
      </c>
      <c r="N114" s="10"/>
      <c r="R114" s="2"/>
    </row>
    <row r="115" spans="1:18" ht="15.75" customHeight="1">
      <c r="A115" s="19"/>
      <c r="B115" s="20">
        <f>DATE(2018,3,1)</f>
        <v>43160</v>
      </c>
      <c r="C115" s="21">
        <v>446273</v>
      </c>
      <c r="D115" s="21">
        <v>370866</v>
      </c>
      <c r="E115" s="23">
        <f t="shared" si="35"/>
        <v>0.2033268080654468</v>
      </c>
      <c r="F115" s="21">
        <f>+C115-199847</f>
        <v>246426</v>
      </c>
      <c r="G115" s="21">
        <f>+D115-168024</f>
        <v>202842</v>
      </c>
      <c r="H115" s="23">
        <f t="shared" si="36"/>
        <v>0.21486674357381608</v>
      </c>
      <c r="I115" s="24">
        <f t="shared" si="37"/>
        <v>36.897867964228176</v>
      </c>
      <c r="J115" s="24">
        <f t="shared" si="38"/>
        <v>66.82136718528078</v>
      </c>
      <c r="K115" s="21">
        <v>16466522.23</v>
      </c>
      <c r="L115" s="21">
        <v>13973884.75</v>
      </c>
      <c r="M115" s="25">
        <f t="shared" si="39"/>
        <v>0.17837827666354558</v>
      </c>
      <c r="N115" s="10"/>
      <c r="R115" s="2"/>
    </row>
    <row r="116" spans="1:18" ht="15.75" customHeight="1">
      <c r="A116" s="19"/>
      <c r="B116" s="20">
        <f>DATE(2018,4,1)</f>
        <v>43191</v>
      </c>
      <c r="C116" s="21">
        <v>388327</v>
      </c>
      <c r="D116" s="21">
        <v>350997</v>
      </c>
      <c r="E116" s="23">
        <f t="shared" si="35"/>
        <v>0.10635418536340767</v>
      </c>
      <c r="F116" s="21">
        <f>+C116-169797</f>
        <v>218530</v>
      </c>
      <c r="G116" s="21">
        <f>+D116-152989</f>
        <v>198008</v>
      </c>
      <c r="H116" s="23">
        <f t="shared" si="36"/>
        <v>0.10364227707971395</v>
      </c>
      <c r="I116" s="24">
        <f t="shared" si="37"/>
        <v>37.59630883250456</v>
      </c>
      <c r="J116" s="24">
        <f t="shared" si="38"/>
        <v>66.80850144144969</v>
      </c>
      <c r="K116" s="21">
        <v>14599661.82</v>
      </c>
      <c r="L116" s="21">
        <v>13592263.76</v>
      </c>
      <c r="M116" s="25">
        <f t="shared" si="39"/>
        <v>0.07411554673950799</v>
      </c>
      <c r="N116" s="10"/>
      <c r="R116" s="2"/>
    </row>
    <row r="117" spans="1:18" ht="15.75" customHeight="1">
      <c r="A117" s="19"/>
      <c r="B117" s="20">
        <f>DATE(2018,5,1)</f>
        <v>43221</v>
      </c>
      <c r="C117" s="21">
        <v>394370</v>
      </c>
      <c r="D117" s="21">
        <v>350689</v>
      </c>
      <c r="E117" s="23">
        <f t="shared" si="35"/>
        <v>0.12455765649906328</v>
      </c>
      <c r="F117" s="21">
        <f>+C117-169906</f>
        <v>224464</v>
      </c>
      <c r="G117" s="21">
        <f>+D117-152542</f>
        <v>198147</v>
      </c>
      <c r="H117" s="23">
        <f t="shared" si="36"/>
        <v>0.13281553594048862</v>
      </c>
      <c r="I117" s="24">
        <f t="shared" si="37"/>
        <v>37.22193927022846</v>
      </c>
      <c r="J117" s="24">
        <f t="shared" si="38"/>
        <v>65.39675043659562</v>
      </c>
      <c r="K117" s="21">
        <v>14679216.19</v>
      </c>
      <c r="L117" s="21">
        <v>12985480.84</v>
      </c>
      <c r="M117" s="25">
        <f t="shared" si="39"/>
        <v>0.13043300982607275</v>
      </c>
      <c r="N117" s="10"/>
      <c r="R117" s="2"/>
    </row>
    <row r="118" spans="1:18" ht="15.75" customHeight="1" thickBot="1">
      <c r="A118" s="19"/>
      <c r="B118" s="45"/>
      <c r="C118" s="21"/>
      <c r="D118" s="21"/>
      <c r="E118" s="23"/>
      <c r="F118" s="21"/>
      <c r="G118" s="21"/>
      <c r="H118" s="23"/>
      <c r="I118" s="24"/>
      <c r="J118" s="24"/>
      <c r="K118" s="21"/>
      <c r="L118" s="21"/>
      <c r="M118" s="25"/>
      <c r="N118" s="10"/>
      <c r="R118" s="2"/>
    </row>
    <row r="119" spans="1:18" ht="17.25" thickBot="1" thickTop="1">
      <c r="A119" s="39" t="s">
        <v>14</v>
      </c>
      <c r="B119" s="40"/>
      <c r="C119" s="41">
        <f>SUM(C107:C118)</f>
        <v>3983574</v>
      </c>
      <c r="D119" s="41">
        <f>SUM(D107:D118)</f>
        <v>3396895</v>
      </c>
      <c r="E119" s="280">
        <f>(+C119-D119)/D119</f>
        <v>0.17271037226643743</v>
      </c>
      <c r="F119" s="41">
        <f>SUM(F107:F118)</f>
        <v>2234883</v>
      </c>
      <c r="G119" s="41">
        <f>SUM(G107:G118)</f>
        <v>1819417</v>
      </c>
      <c r="H119" s="42">
        <f>(+F119-G119)/G119</f>
        <v>0.22835116963290988</v>
      </c>
      <c r="I119" s="43">
        <f>K119/C119</f>
        <v>36.40958065546165</v>
      </c>
      <c r="J119" s="43">
        <f>K119/F119</f>
        <v>64.89836776690323</v>
      </c>
      <c r="K119" s="41">
        <f>SUM(K107:K118)</f>
        <v>145040258.85</v>
      </c>
      <c r="L119" s="41">
        <f>SUM(L107:L118)</f>
        <v>128239496.21000001</v>
      </c>
      <c r="M119" s="44">
        <f>(+K119-L119)/L119</f>
        <v>0.13101082846183137</v>
      </c>
      <c r="N119" s="10"/>
      <c r="R119" s="2"/>
    </row>
    <row r="120" spans="1:18" ht="15.75" customHeight="1" thickTop="1">
      <c r="A120" s="54"/>
      <c r="B120" s="55"/>
      <c r="C120" s="55"/>
      <c r="D120" s="55"/>
      <c r="E120" s="56"/>
      <c r="F120" s="55"/>
      <c r="G120" s="55"/>
      <c r="H120" s="56"/>
      <c r="I120" s="55"/>
      <c r="J120" s="55"/>
      <c r="K120" s="196"/>
      <c r="L120" s="196"/>
      <c r="M120" s="57"/>
      <c r="N120" s="10"/>
      <c r="R120" s="2"/>
    </row>
    <row r="121" spans="1:18" ht="15.75" customHeight="1">
      <c r="A121" s="19" t="s">
        <v>18</v>
      </c>
      <c r="B121" s="20">
        <f>DATE(2017,7,1)</f>
        <v>42917</v>
      </c>
      <c r="C121" s="21">
        <v>402324</v>
      </c>
      <c r="D121" s="21">
        <v>443593</v>
      </c>
      <c r="E121" s="23">
        <f aca="true" t="shared" si="40" ref="E121:E131">(+C121-D121)/D121</f>
        <v>-0.09303347888717811</v>
      </c>
      <c r="F121" s="21">
        <f>+C121-196212</f>
        <v>206112</v>
      </c>
      <c r="G121" s="21">
        <f>+D121-216102</f>
        <v>227491</v>
      </c>
      <c r="H121" s="23">
        <f aca="true" t="shared" si="41" ref="H121:H131">(+F121-G121)/G121</f>
        <v>-0.09397734415867001</v>
      </c>
      <c r="I121" s="24">
        <f aca="true" t="shared" si="42" ref="I121:I131">K121/C121</f>
        <v>40.6170578190712</v>
      </c>
      <c r="J121" s="24">
        <f aca="true" t="shared" si="43" ref="J121:J131">K121/F121</f>
        <v>79.28319151723335</v>
      </c>
      <c r="K121" s="21">
        <v>16341217.17</v>
      </c>
      <c r="L121" s="21">
        <v>16992668.91</v>
      </c>
      <c r="M121" s="25">
        <f aca="true" t="shared" si="44" ref="M121:M131">(+K121-L121)/L121</f>
        <v>-0.03833722315489994</v>
      </c>
      <c r="N121" s="10"/>
      <c r="R121" s="2"/>
    </row>
    <row r="122" spans="1:18" ht="15.75" customHeight="1">
      <c r="A122" s="19"/>
      <c r="B122" s="20">
        <f>DATE(2017,8,1)</f>
        <v>42948</v>
      </c>
      <c r="C122" s="21">
        <v>379939</v>
      </c>
      <c r="D122" s="21">
        <v>403931</v>
      </c>
      <c r="E122" s="23">
        <f t="shared" si="40"/>
        <v>-0.05939628302853705</v>
      </c>
      <c r="F122" s="21">
        <f>+C122-185707</f>
        <v>194232</v>
      </c>
      <c r="G122" s="21">
        <f>+D122-196405</f>
        <v>207526</v>
      </c>
      <c r="H122" s="23">
        <f t="shared" si="41"/>
        <v>-0.06405944315411082</v>
      </c>
      <c r="I122" s="24">
        <f t="shared" si="42"/>
        <v>40.309828814625504</v>
      </c>
      <c r="J122" s="24">
        <f t="shared" si="43"/>
        <v>78.85042655175255</v>
      </c>
      <c r="K122" s="21">
        <v>15315276.05</v>
      </c>
      <c r="L122" s="21">
        <v>15920732.62</v>
      </c>
      <c r="M122" s="25">
        <f t="shared" si="44"/>
        <v>-0.03802944151196972</v>
      </c>
      <c r="N122" s="10"/>
      <c r="R122" s="2"/>
    </row>
    <row r="123" spans="1:18" ht="15.75" customHeight="1">
      <c r="A123" s="19"/>
      <c r="B123" s="20">
        <f>DATE(2017,9,1)</f>
        <v>42979</v>
      </c>
      <c r="C123" s="21">
        <v>383853</v>
      </c>
      <c r="D123" s="21">
        <v>412152</v>
      </c>
      <c r="E123" s="23">
        <f t="shared" si="40"/>
        <v>-0.06866156175391604</v>
      </c>
      <c r="F123" s="21">
        <f>+C123-186182</f>
        <v>197671</v>
      </c>
      <c r="G123" s="21">
        <f>+D123-198762</f>
        <v>213390</v>
      </c>
      <c r="H123" s="23">
        <f t="shared" si="41"/>
        <v>-0.07366324570036084</v>
      </c>
      <c r="I123" s="24">
        <f t="shared" si="42"/>
        <v>41.76407293938044</v>
      </c>
      <c r="J123" s="24">
        <f t="shared" si="43"/>
        <v>81.10074158576624</v>
      </c>
      <c r="K123" s="21">
        <v>16031264.69</v>
      </c>
      <c r="L123" s="21">
        <v>15877918.01</v>
      </c>
      <c r="M123" s="25">
        <f t="shared" si="44"/>
        <v>0.00965785815894887</v>
      </c>
      <c r="N123" s="10"/>
      <c r="R123" s="2"/>
    </row>
    <row r="124" spans="1:18" ht="15.75" customHeight="1">
      <c r="A124" s="19"/>
      <c r="B124" s="20">
        <f>DATE(2017,10,1)</f>
        <v>43009</v>
      </c>
      <c r="C124" s="21">
        <v>372927</v>
      </c>
      <c r="D124" s="21">
        <v>416520</v>
      </c>
      <c r="E124" s="23">
        <f t="shared" si="40"/>
        <v>-0.10466004033419764</v>
      </c>
      <c r="F124" s="21">
        <f>+C124-185932</f>
        <v>186995</v>
      </c>
      <c r="G124" s="21">
        <f>+D124-200772</f>
        <v>215748</v>
      </c>
      <c r="H124" s="23">
        <f t="shared" si="41"/>
        <v>-0.13327122383521517</v>
      </c>
      <c r="I124" s="24">
        <f t="shared" si="42"/>
        <v>40.93245611071336</v>
      </c>
      <c r="J124" s="24">
        <f t="shared" si="43"/>
        <v>81.63222578143801</v>
      </c>
      <c r="K124" s="21">
        <v>15264818.06</v>
      </c>
      <c r="L124" s="21">
        <v>16320470.64</v>
      </c>
      <c r="M124" s="25">
        <f t="shared" si="44"/>
        <v>-0.06468272902698595</v>
      </c>
      <c r="N124" s="10"/>
      <c r="R124" s="2"/>
    </row>
    <row r="125" spans="1:18" ht="15.75" customHeight="1">
      <c r="A125" s="19"/>
      <c r="B125" s="20">
        <f>DATE(2017,11,1)</f>
        <v>43040</v>
      </c>
      <c r="C125" s="21">
        <v>350531</v>
      </c>
      <c r="D125" s="21">
        <v>406238</v>
      </c>
      <c r="E125" s="23">
        <f t="shared" si="40"/>
        <v>-0.1371289736558372</v>
      </c>
      <c r="F125" s="21">
        <f>+C125-173337</f>
        <v>177194</v>
      </c>
      <c r="G125" s="21">
        <f>+D125-201694</f>
        <v>204544</v>
      </c>
      <c r="H125" s="23">
        <f t="shared" si="41"/>
        <v>-0.13371206195244056</v>
      </c>
      <c r="I125" s="24">
        <f t="shared" si="42"/>
        <v>42.16910792483404</v>
      </c>
      <c r="J125" s="24">
        <f t="shared" si="43"/>
        <v>83.42031654570697</v>
      </c>
      <c r="K125" s="21">
        <v>14781579.57</v>
      </c>
      <c r="L125" s="21">
        <v>15913149.14</v>
      </c>
      <c r="M125" s="25">
        <f t="shared" si="44"/>
        <v>-0.07110909098159815</v>
      </c>
      <c r="N125" s="10"/>
      <c r="R125" s="2"/>
    </row>
    <row r="126" spans="1:18" ht="15.75" customHeight="1">
      <c r="A126" s="19"/>
      <c r="B126" s="20">
        <f>DATE(2017,12,1)</f>
        <v>43070</v>
      </c>
      <c r="C126" s="21">
        <v>390264</v>
      </c>
      <c r="D126" s="21">
        <v>414721</v>
      </c>
      <c r="E126" s="23">
        <f t="shared" si="40"/>
        <v>-0.058972176475268916</v>
      </c>
      <c r="F126" s="21">
        <f>+C126-192232</f>
        <v>198032</v>
      </c>
      <c r="G126" s="21">
        <f>+D126-204940</f>
        <v>209781</v>
      </c>
      <c r="H126" s="23">
        <f t="shared" si="41"/>
        <v>-0.0560060253311787</v>
      </c>
      <c r="I126" s="24">
        <f t="shared" si="42"/>
        <v>42.14231497140397</v>
      </c>
      <c r="J126" s="24">
        <f t="shared" si="43"/>
        <v>83.05035756847379</v>
      </c>
      <c r="K126" s="21">
        <v>16446628.41</v>
      </c>
      <c r="L126" s="21">
        <v>16539049.81</v>
      </c>
      <c r="M126" s="25">
        <f t="shared" si="44"/>
        <v>-0.005588071930475695</v>
      </c>
      <c r="N126" s="10"/>
      <c r="R126" s="2"/>
    </row>
    <row r="127" spans="1:18" ht="15.75" customHeight="1">
      <c r="A127" s="19"/>
      <c r="B127" s="20">
        <f>DATE(2018,1,1)</f>
        <v>43101</v>
      </c>
      <c r="C127" s="21">
        <v>367155</v>
      </c>
      <c r="D127" s="21">
        <v>381508</v>
      </c>
      <c r="E127" s="23">
        <f t="shared" si="40"/>
        <v>-0.037621753672269</v>
      </c>
      <c r="F127" s="21">
        <f>+C127-193850</f>
        <v>173305</v>
      </c>
      <c r="G127" s="21">
        <f>+D127-188183</f>
        <v>193325</v>
      </c>
      <c r="H127" s="23">
        <f t="shared" si="41"/>
        <v>-0.10355618776671409</v>
      </c>
      <c r="I127" s="24">
        <f t="shared" si="42"/>
        <v>41.00897977693345</v>
      </c>
      <c r="J127" s="24">
        <f t="shared" si="43"/>
        <v>86.87950128386372</v>
      </c>
      <c r="K127" s="21">
        <v>15056651.97</v>
      </c>
      <c r="L127" s="21">
        <v>15120347.78</v>
      </c>
      <c r="M127" s="25">
        <f t="shared" si="44"/>
        <v>-0.0042125889514426675</v>
      </c>
      <c r="N127" s="10"/>
      <c r="R127" s="2"/>
    </row>
    <row r="128" spans="1:18" ht="15.75" customHeight="1">
      <c r="A128" s="19"/>
      <c r="B128" s="20">
        <f>DATE(2018,2,1)</f>
        <v>43132</v>
      </c>
      <c r="C128" s="21">
        <v>348132</v>
      </c>
      <c r="D128" s="21">
        <v>408428</v>
      </c>
      <c r="E128" s="23">
        <f t="shared" si="40"/>
        <v>-0.14762944754032534</v>
      </c>
      <c r="F128" s="21">
        <f>+C128-170486</f>
        <v>177646</v>
      </c>
      <c r="G128" s="21">
        <f>+D128-202328</f>
        <v>206100</v>
      </c>
      <c r="H128" s="23">
        <f t="shared" si="41"/>
        <v>-0.13805919456574478</v>
      </c>
      <c r="I128" s="24">
        <f t="shared" si="42"/>
        <v>43.901873599669095</v>
      </c>
      <c r="J128" s="24">
        <f t="shared" si="43"/>
        <v>86.03428762820441</v>
      </c>
      <c r="K128" s="21">
        <v>15283647.06</v>
      </c>
      <c r="L128" s="21">
        <v>16517544.51</v>
      </c>
      <c r="M128" s="25">
        <f t="shared" si="44"/>
        <v>-0.07470223248092214</v>
      </c>
      <c r="N128" s="10"/>
      <c r="R128" s="2"/>
    </row>
    <row r="129" spans="1:18" ht="15.75" customHeight="1">
      <c r="A129" s="19"/>
      <c r="B129" s="20">
        <f>DATE(2018,3,1)</f>
        <v>43160</v>
      </c>
      <c r="C129" s="21">
        <v>425327</v>
      </c>
      <c r="D129" s="21">
        <v>438400</v>
      </c>
      <c r="E129" s="23">
        <f t="shared" si="40"/>
        <v>-0.029819799270072993</v>
      </c>
      <c r="F129" s="21">
        <f>+C129-208257</f>
        <v>217070</v>
      </c>
      <c r="G129" s="21">
        <f>+D129-216803</f>
        <v>221597</v>
      </c>
      <c r="H129" s="23">
        <f t="shared" si="41"/>
        <v>-0.02042897692658294</v>
      </c>
      <c r="I129" s="24">
        <f t="shared" si="42"/>
        <v>42.77366108899741</v>
      </c>
      <c r="J129" s="24">
        <f t="shared" si="43"/>
        <v>83.81071981388492</v>
      </c>
      <c r="K129" s="21">
        <v>18192792.95</v>
      </c>
      <c r="L129" s="21">
        <v>18361714.65</v>
      </c>
      <c r="M129" s="25">
        <f t="shared" si="44"/>
        <v>-0.009199669160526861</v>
      </c>
      <c r="N129" s="10"/>
      <c r="R129" s="2"/>
    </row>
    <row r="130" spans="1:18" ht="15.75" customHeight="1">
      <c r="A130" s="19"/>
      <c r="B130" s="20">
        <f>DATE(2018,4,1)</f>
        <v>43191</v>
      </c>
      <c r="C130" s="21">
        <v>373812</v>
      </c>
      <c r="D130" s="21">
        <v>389645</v>
      </c>
      <c r="E130" s="23">
        <f t="shared" si="40"/>
        <v>-0.04063442364203313</v>
      </c>
      <c r="F130" s="21">
        <f>+C130-186032</f>
        <v>187780</v>
      </c>
      <c r="G130" s="21">
        <f>+D130-193820</f>
        <v>195825</v>
      </c>
      <c r="H130" s="23">
        <f t="shared" si="41"/>
        <v>-0.04108259925954296</v>
      </c>
      <c r="I130" s="24">
        <f t="shared" si="42"/>
        <v>43.88863648036981</v>
      </c>
      <c r="J130" s="24">
        <f t="shared" si="43"/>
        <v>87.36872393226116</v>
      </c>
      <c r="K130" s="21">
        <v>16406098.98</v>
      </c>
      <c r="L130" s="21">
        <v>16171096.51</v>
      </c>
      <c r="M130" s="25">
        <f t="shared" si="44"/>
        <v>0.014532253261532273</v>
      </c>
      <c r="N130" s="10"/>
      <c r="R130" s="2"/>
    </row>
    <row r="131" spans="1:18" ht="15.75" customHeight="1">
      <c r="A131" s="19"/>
      <c r="B131" s="20">
        <f>DATE(2018,5,1)</f>
        <v>43221</v>
      </c>
      <c r="C131" s="21">
        <v>380134</v>
      </c>
      <c r="D131" s="21">
        <v>380619</v>
      </c>
      <c r="E131" s="23">
        <f t="shared" si="40"/>
        <v>-0.0012742401193844763</v>
      </c>
      <c r="F131" s="21">
        <f>+C131-186204</f>
        <v>193930</v>
      </c>
      <c r="G131" s="21">
        <f>+D131-183593</f>
        <v>197026</v>
      </c>
      <c r="H131" s="23">
        <f t="shared" si="41"/>
        <v>-0.01571366215626364</v>
      </c>
      <c r="I131" s="24">
        <f t="shared" si="42"/>
        <v>43.08634081665939</v>
      </c>
      <c r="J131" s="24">
        <f t="shared" si="43"/>
        <v>84.45615985149281</v>
      </c>
      <c r="K131" s="21">
        <v>16378583.08</v>
      </c>
      <c r="L131" s="21">
        <v>15620543.79</v>
      </c>
      <c r="M131" s="25">
        <f t="shared" si="44"/>
        <v>0.04852835472253434</v>
      </c>
      <c r="N131" s="10"/>
      <c r="R131" s="2"/>
    </row>
    <row r="132" spans="1:18" ht="15.75" customHeight="1" thickBot="1">
      <c r="A132" s="19"/>
      <c r="B132" s="45"/>
      <c r="C132" s="21"/>
      <c r="D132" s="21"/>
      <c r="E132" s="23"/>
      <c r="F132" s="21"/>
      <c r="G132" s="21"/>
      <c r="H132" s="23"/>
      <c r="I132" s="24"/>
      <c r="J132" s="24"/>
      <c r="K132" s="21"/>
      <c r="L132" s="21"/>
      <c r="M132" s="25"/>
      <c r="N132" s="10"/>
      <c r="R132" s="2"/>
    </row>
    <row r="133" spans="1:18" ht="17.25" thickBot="1" thickTop="1">
      <c r="A133" s="39" t="s">
        <v>14</v>
      </c>
      <c r="B133" s="40"/>
      <c r="C133" s="41">
        <f>SUM(C121:C132)</f>
        <v>4174398</v>
      </c>
      <c r="D133" s="41">
        <f>SUM(D121:D132)</f>
        <v>4495755</v>
      </c>
      <c r="E133" s="280">
        <f>(+C133-D133)/D133</f>
        <v>-0.07148009622410474</v>
      </c>
      <c r="F133" s="41">
        <f>SUM(F121:F132)</f>
        <v>2109967</v>
      </c>
      <c r="G133" s="41">
        <f>SUM(G121:G132)</f>
        <v>2292353</v>
      </c>
      <c r="H133" s="42">
        <f>(+F133-G133)/G133</f>
        <v>-0.07956278984955632</v>
      </c>
      <c r="I133" s="43">
        <f>K133/C133</f>
        <v>42.04164480483173</v>
      </c>
      <c r="J133" s="43">
        <f>K133/F133</f>
        <v>83.17597288962338</v>
      </c>
      <c r="K133" s="41">
        <f>SUM(K121:K132)</f>
        <v>175498557.98999998</v>
      </c>
      <c r="L133" s="41">
        <f>SUM(L121:L132)</f>
        <v>179355236.36999997</v>
      </c>
      <c r="M133" s="44">
        <f>(+K133-L133)/L133</f>
        <v>-0.02150301523421307</v>
      </c>
      <c r="N133" s="10"/>
      <c r="R133" s="2"/>
    </row>
    <row r="134" spans="1:18" ht="15.75" customHeight="1" thickTop="1">
      <c r="A134" s="54"/>
      <c r="B134" s="55"/>
      <c r="C134" s="55"/>
      <c r="D134" s="55"/>
      <c r="E134" s="56"/>
      <c r="F134" s="55"/>
      <c r="G134" s="55"/>
      <c r="H134" s="56"/>
      <c r="I134" s="55"/>
      <c r="J134" s="55"/>
      <c r="K134" s="196"/>
      <c r="L134" s="196"/>
      <c r="M134" s="57"/>
      <c r="N134" s="10"/>
      <c r="R134" s="2"/>
    </row>
    <row r="135" spans="1:18" ht="15.75" customHeight="1">
      <c r="A135" s="19" t="s">
        <v>58</v>
      </c>
      <c r="B135" s="20">
        <f>DATE(2017,7,1)</f>
        <v>42917</v>
      </c>
      <c r="C135" s="21">
        <v>487621</v>
      </c>
      <c r="D135" s="21">
        <v>530171</v>
      </c>
      <c r="E135" s="23">
        <f aca="true" t="shared" si="45" ref="E135:E145">(+C135-D135)/D135</f>
        <v>-0.08025712458810459</v>
      </c>
      <c r="F135" s="21">
        <f>+C135-237847</f>
        <v>249774</v>
      </c>
      <c r="G135" s="21">
        <f>+D135-255599</f>
        <v>274572</v>
      </c>
      <c r="H135" s="23">
        <f aca="true" t="shared" si="46" ref="H135:H145">(+F135-G135)/G135</f>
        <v>-0.09031510860539312</v>
      </c>
      <c r="I135" s="24">
        <f aca="true" t="shared" si="47" ref="I135:I145">K135/C135</f>
        <v>40.61489082709728</v>
      </c>
      <c r="J135" s="24">
        <f aca="true" t="shared" si="48" ref="J135:J145">K135/F135</f>
        <v>79.29037321738852</v>
      </c>
      <c r="K135" s="21">
        <v>19804673.68</v>
      </c>
      <c r="L135" s="21">
        <v>20026177.73</v>
      </c>
      <c r="M135" s="25">
        <f aca="true" t="shared" si="49" ref="M135:M145">(+K135-L135)/L135</f>
        <v>-0.011060725266019136</v>
      </c>
      <c r="N135" s="10"/>
      <c r="R135" s="2"/>
    </row>
    <row r="136" spans="1:18" ht="15.75" customHeight="1">
      <c r="A136" s="19"/>
      <c r="B136" s="20">
        <f>DATE(2017,8,1)</f>
        <v>42948</v>
      </c>
      <c r="C136" s="21">
        <v>450476</v>
      </c>
      <c r="D136" s="21">
        <v>452258</v>
      </c>
      <c r="E136" s="23">
        <f t="shared" si="45"/>
        <v>-0.003940228807450615</v>
      </c>
      <c r="F136" s="21">
        <f>+C136-212152</f>
        <v>238324</v>
      </c>
      <c r="G136" s="21">
        <f>+D136-201862</f>
        <v>250396</v>
      </c>
      <c r="H136" s="23">
        <f t="shared" si="46"/>
        <v>-0.04821163277368648</v>
      </c>
      <c r="I136" s="24">
        <f t="shared" si="47"/>
        <v>41.27123347303741</v>
      </c>
      <c r="J136" s="24">
        <f t="shared" si="48"/>
        <v>78.01018852486531</v>
      </c>
      <c r="K136" s="21">
        <v>18591700.17</v>
      </c>
      <c r="L136" s="21">
        <v>17792626.65</v>
      </c>
      <c r="M136" s="25">
        <f t="shared" si="49"/>
        <v>0.044910374152093126</v>
      </c>
      <c r="N136" s="10"/>
      <c r="R136" s="2"/>
    </row>
    <row r="137" spans="1:18" ht="15.75" customHeight="1">
      <c r="A137" s="19"/>
      <c r="B137" s="20">
        <f>DATE(2017,9,1)</f>
        <v>42979</v>
      </c>
      <c r="C137" s="21">
        <v>460406</v>
      </c>
      <c r="D137" s="21">
        <v>443833</v>
      </c>
      <c r="E137" s="23">
        <f t="shared" si="45"/>
        <v>0.0373406213598358</v>
      </c>
      <c r="F137" s="21">
        <f>+C137-224162</f>
        <v>236244</v>
      </c>
      <c r="G137" s="21">
        <f>+D137-215331</f>
        <v>228502</v>
      </c>
      <c r="H137" s="23">
        <f t="shared" si="46"/>
        <v>0.03388154151823616</v>
      </c>
      <c r="I137" s="24">
        <f t="shared" si="47"/>
        <v>40.65456169120298</v>
      </c>
      <c r="J137" s="24">
        <f t="shared" si="48"/>
        <v>79.22996617903523</v>
      </c>
      <c r="K137" s="21">
        <v>18717604.13</v>
      </c>
      <c r="L137" s="21">
        <v>17971661.23</v>
      </c>
      <c r="M137" s="25">
        <f t="shared" si="49"/>
        <v>0.04150661925202551</v>
      </c>
      <c r="N137" s="10"/>
      <c r="R137" s="2"/>
    </row>
    <row r="138" spans="1:18" ht="15.75" customHeight="1">
      <c r="A138" s="19"/>
      <c r="B138" s="20">
        <f>DATE(2017,10,1)</f>
        <v>43009</v>
      </c>
      <c r="C138" s="21">
        <v>417011</v>
      </c>
      <c r="D138" s="21">
        <v>470107</v>
      </c>
      <c r="E138" s="23">
        <f t="shared" si="45"/>
        <v>-0.11294449986917872</v>
      </c>
      <c r="F138" s="21">
        <f>+C138-199528</f>
        <v>217483</v>
      </c>
      <c r="G138" s="21">
        <f>+D138-226355</f>
        <v>243752</v>
      </c>
      <c r="H138" s="23">
        <f t="shared" si="46"/>
        <v>-0.10776937214874134</v>
      </c>
      <c r="I138" s="24">
        <f t="shared" si="47"/>
        <v>42.60150058391745</v>
      </c>
      <c r="J138" s="24">
        <f t="shared" si="48"/>
        <v>81.68589894382549</v>
      </c>
      <c r="K138" s="21">
        <v>17765294.36</v>
      </c>
      <c r="L138" s="21">
        <v>19212522.4</v>
      </c>
      <c r="M138" s="25">
        <f t="shared" si="49"/>
        <v>-0.07532733130346275</v>
      </c>
      <c r="N138" s="10"/>
      <c r="R138" s="2"/>
    </row>
    <row r="139" spans="1:18" ht="15.75" customHeight="1">
      <c r="A139" s="19"/>
      <c r="B139" s="20">
        <f>DATE(2017,11,1)</f>
        <v>43040</v>
      </c>
      <c r="C139" s="21">
        <v>418322</v>
      </c>
      <c r="D139" s="21">
        <v>443731</v>
      </c>
      <c r="E139" s="23">
        <f t="shared" si="45"/>
        <v>-0.057262170098550697</v>
      </c>
      <c r="F139" s="21">
        <f>+C139-203115</f>
        <v>215207</v>
      </c>
      <c r="G139" s="21">
        <f>+D139-215748</f>
        <v>227983</v>
      </c>
      <c r="H139" s="23">
        <f t="shared" si="46"/>
        <v>-0.05603926608562919</v>
      </c>
      <c r="I139" s="24">
        <f t="shared" si="47"/>
        <v>42.15487947083825</v>
      </c>
      <c r="J139" s="24">
        <f t="shared" si="48"/>
        <v>81.94117054742642</v>
      </c>
      <c r="K139" s="21">
        <v>17634313.49</v>
      </c>
      <c r="L139" s="21">
        <v>17124542.9</v>
      </c>
      <c r="M139" s="25">
        <f t="shared" si="49"/>
        <v>0.029768420271235378</v>
      </c>
      <c r="N139" s="10"/>
      <c r="R139" s="2"/>
    </row>
    <row r="140" spans="1:18" ht="15.75" customHeight="1">
      <c r="A140" s="19"/>
      <c r="B140" s="20">
        <f>DATE(2017,12,1)</f>
        <v>43070</v>
      </c>
      <c r="C140" s="21">
        <v>463864</v>
      </c>
      <c r="D140" s="21">
        <v>475585</v>
      </c>
      <c r="E140" s="23">
        <f t="shared" si="45"/>
        <v>-0.024645436672729375</v>
      </c>
      <c r="F140" s="21">
        <f>+C140-225145</f>
        <v>238719</v>
      </c>
      <c r="G140" s="21">
        <f>+D140-231688</f>
        <v>243897</v>
      </c>
      <c r="H140" s="23">
        <f t="shared" si="46"/>
        <v>-0.0212302734350976</v>
      </c>
      <c r="I140" s="24">
        <f t="shared" si="47"/>
        <v>41.52262214787093</v>
      </c>
      <c r="J140" s="24">
        <f t="shared" si="48"/>
        <v>80.68419187412816</v>
      </c>
      <c r="K140" s="21">
        <v>19260849.6</v>
      </c>
      <c r="L140" s="21">
        <v>18798395.36</v>
      </c>
      <c r="M140" s="25">
        <f t="shared" si="49"/>
        <v>0.02460072953801319</v>
      </c>
      <c r="N140" s="10"/>
      <c r="R140" s="2"/>
    </row>
    <row r="141" spans="1:18" ht="15.75" customHeight="1">
      <c r="A141" s="19"/>
      <c r="B141" s="20">
        <f>DATE(2018,1,1)</f>
        <v>43101</v>
      </c>
      <c r="C141" s="21">
        <v>394135</v>
      </c>
      <c r="D141" s="21">
        <v>452679</v>
      </c>
      <c r="E141" s="23">
        <f t="shared" si="45"/>
        <v>-0.12932784600125033</v>
      </c>
      <c r="F141" s="21">
        <f>+C141-197319</f>
        <v>196816</v>
      </c>
      <c r="G141" s="21">
        <f>+D141-220938</f>
        <v>231741</v>
      </c>
      <c r="H141" s="23">
        <f t="shared" si="46"/>
        <v>-0.150707039324073</v>
      </c>
      <c r="I141" s="24">
        <f t="shared" si="47"/>
        <v>41.98923886485595</v>
      </c>
      <c r="J141" s="24">
        <f t="shared" si="48"/>
        <v>84.08578906186489</v>
      </c>
      <c r="K141" s="21">
        <v>16549428.66</v>
      </c>
      <c r="L141" s="21">
        <v>18005996.58</v>
      </c>
      <c r="M141" s="25">
        <f t="shared" si="49"/>
        <v>-0.08089349087280556</v>
      </c>
      <c r="N141" s="10"/>
      <c r="R141" s="2"/>
    </row>
    <row r="142" spans="1:18" ht="15.75" customHeight="1">
      <c r="A142" s="19"/>
      <c r="B142" s="20">
        <f>DATE(2018,2,1)</f>
        <v>43132</v>
      </c>
      <c r="C142" s="21">
        <v>427928</v>
      </c>
      <c r="D142" s="21">
        <v>474610</v>
      </c>
      <c r="E142" s="23">
        <f t="shared" si="45"/>
        <v>-0.09835865236720676</v>
      </c>
      <c r="F142" s="21">
        <f>+C142-211910</f>
        <v>216018</v>
      </c>
      <c r="G142" s="21">
        <f>+D142-228642</f>
        <v>245968</v>
      </c>
      <c r="H142" s="23">
        <f t="shared" si="46"/>
        <v>-0.1217638066740389</v>
      </c>
      <c r="I142" s="24">
        <f t="shared" si="47"/>
        <v>41.937372361705705</v>
      </c>
      <c r="J142" s="24">
        <f t="shared" si="48"/>
        <v>83.07722449055171</v>
      </c>
      <c r="K142" s="21">
        <v>17946175.88</v>
      </c>
      <c r="L142" s="21">
        <v>18749403.41</v>
      </c>
      <c r="M142" s="25">
        <f t="shared" si="49"/>
        <v>-0.04284016469407232</v>
      </c>
      <c r="N142" s="10"/>
      <c r="R142" s="2"/>
    </row>
    <row r="143" spans="1:18" ht="15.75" customHeight="1">
      <c r="A143" s="19"/>
      <c r="B143" s="20">
        <f>DATE(2018,3,1)</f>
        <v>43160</v>
      </c>
      <c r="C143" s="21">
        <v>524386</v>
      </c>
      <c r="D143" s="21">
        <v>532412</v>
      </c>
      <c r="E143" s="23">
        <f t="shared" si="45"/>
        <v>-0.015074791702666356</v>
      </c>
      <c r="F143" s="21">
        <f>+C143-260974</f>
        <v>263412</v>
      </c>
      <c r="G143" s="21">
        <f>+D143-262290</f>
        <v>270122</v>
      </c>
      <c r="H143" s="23">
        <f t="shared" si="46"/>
        <v>-0.024840627568283962</v>
      </c>
      <c r="I143" s="24">
        <f t="shared" si="47"/>
        <v>42.14211388175886</v>
      </c>
      <c r="J143" s="24">
        <f t="shared" si="48"/>
        <v>83.89418299090399</v>
      </c>
      <c r="K143" s="21">
        <v>22098734.53</v>
      </c>
      <c r="L143" s="21">
        <v>20942441.98</v>
      </c>
      <c r="M143" s="25">
        <f t="shared" si="49"/>
        <v>0.05521288067094842</v>
      </c>
      <c r="N143" s="10"/>
      <c r="R143" s="2"/>
    </row>
    <row r="144" spans="1:18" ht="15.75" customHeight="1">
      <c r="A144" s="19"/>
      <c r="B144" s="20">
        <f>DATE(2018,4,1)</f>
        <v>43191</v>
      </c>
      <c r="C144" s="21">
        <v>421515</v>
      </c>
      <c r="D144" s="21">
        <v>473417</v>
      </c>
      <c r="E144" s="23">
        <f t="shared" si="45"/>
        <v>-0.10963273393224156</v>
      </c>
      <c r="F144" s="21">
        <f>+C144-205107</f>
        <v>216408</v>
      </c>
      <c r="G144" s="21">
        <f>+D144-234217</f>
        <v>239200</v>
      </c>
      <c r="H144" s="23">
        <f t="shared" si="46"/>
        <v>-0.09528428093645484</v>
      </c>
      <c r="I144" s="24">
        <f t="shared" si="47"/>
        <v>44.26191039464788</v>
      </c>
      <c r="J144" s="24">
        <f t="shared" si="48"/>
        <v>86.2124281911944</v>
      </c>
      <c r="K144" s="21">
        <v>18657059.16</v>
      </c>
      <c r="L144" s="21">
        <v>19695485.45</v>
      </c>
      <c r="M144" s="25">
        <f t="shared" si="49"/>
        <v>-0.05272407692799464</v>
      </c>
      <c r="N144" s="10"/>
      <c r="R144" s="2"/>
    </row>
    <row r="145" spans="1:18" ht="15.75" customHeight="1">
      <c r="A145" s="19"/>
      <c r="B145" s="20">
        <f>DATE(2018,5,1)</f>
        <v>43221</v>
      </c>
      <c r="C145" s="21">
        <v>416553</v>
      </c>
      <c r="D145" s="21">
        <v>448316</v>
      </c>
      <c r="E145" s="23">
        <f t="shared" si="45"/>
        <v>-0.0708495793145906</v>
      </c>
      <c r="F145" s="21">
        <f>+C145-196899</f>
        <v>219654</v>
      </c>
      <c r="G145" s="21">
        <f>+D145-212809</f>
        <v>235507</v>
      </c>
      <c r="H145" s="23">
        <f t="shared" si="46"/>
        <v>-0.0673143473442403</v>
      </c>
      <c r="I145" s="24">
        <f t="shared" si="47"/>
        <v>43.318098441254776</v>
      </c>
      <c r="J145" s="24">
        <f t="shared" si="48"/>
        <v>82.14866954391907</v>
      </c>
      <c r="K145" s="21">
        <v>18044283.86</v>
      </c>
      <c r="L145" s="21">
        <v>18644495.24</v>
      </c>
      <c r="M145" s="25">
        <f t="shared" si="49"/>
        <v>-0.03219241777660477</v>
      </c>
      <c r="N145" s="10"/>
      <c r="R145" s="2"/>
    </row>
    <row r="146" spans="1:18" ht="15.75" customHeight="1" thickBot="1">
      <c r="A146" s="19"/>
      <c r="B146" s="45"/>
      <c r="C146" s="21"/>
      <c r="D146" s="21"/>
      <c r="E146" s="23"/>
      <c r="F146" s="21"/>
      <c r="G146" s="21"/>
      <c r="H146" s="23"/>
      <c r="I146" s="24"/>
      <c r="J146" s="24"/>
      <c r="K146" s="21"/>
      <c r="L146" s="21"/>
      <c r="M146" s="25"/>
      <c r="N146" s="10"/>
      <c r="R146" s="2"/>
    </row>
    <row r="147" spans="1:18" ht="17.25" thickBot="1" thickTop="1">
      <c r="A147" s="39" t="s">
        <v>14</v>
      </c>
      <c r="B147" s="40"/>
      <c r="C147" s="41">
        <f>SUM(C135:C146)</f>
        <v>4882217</v>
      </c>
      <c r="D147" s="41">
        <f>SUM(D135:D146)</f>
        <v>5197119</v>
      </c>
      <c r="E147" s="280">
        <f>(+C147-D147)/D147</f>
        <v>-0.060591647025977274</v>
      </c>
      <c r="F147" s="41">
        <f>SUM(F135:F146)</f>
        <v>2508059</v>
      </c>
      <c r="G147" s="41">
        <f>SUM(G135:G146)</f>
        <v>2691640</v>
      </c>
      <c r="H147" s="42">
        <f>(+F147-G147)/G147</f>
        <v>-0.06820414319894191</v>
      </c>
      <c r="I147" s="43">
        <f>K147/C147</f>
        <v>42.00348274564608</v>
      </c>
      <c r="J147" s="43">
        <f>K147/F147</f>
        <v>81.76447105909389</v>
      </c>
      <c r="K147" s="41">
        <f>SUM(K135:K146)</f>
        <v>205070117.51999998</v>
      </c>
      <c r="L147" s="41">
        <f>SUM(L135:L146)</f>
        <v>206963748.92999998</v>
      </c>
      <c r="M147" s="44">
        <f>(+K147-L147)/L147</f>
        <v>-0.009149580154930743</v>
      </c>
      <c r="N147" s="10"/>
      <c r="R147" s="2"/>
    </row>
    <row r="148" spans="1:18" ht="15.75" customHeight="1" thickTop="1">
      <c r="A148" s="58"/>
      <c r="B148" s="59"/>
      <c r="C148" s="59"/>
      <c r="D148" s="59"/>
      <c r="E148" s="60"/>
      <c r="F148" s="59"/>
      <c r="G148" s="59"/>
      <c r="H148" s="60"/>
      <c r="I148" s="59"/>
      <c r="J148" s="59"/>
      <c r="K148" s="197"/>
      <c r="L148" s="197"/>
      <c r="M148" s="61"/>
      <c r="N148" s="10"/>
      <c r="R148" s="2"/>
    </row>
    <row r="149" spans="1:18" ht="15" customHeight="1">
      <c r="A149" s="19" t="s">
        <v>59</v>
      </c>
      <c r="B149" s="20">
        <f>DATE(2017,7,1)</f>
        <v>42917</v>
      </c>
      <c r="C149" s="21">
        <v>62927</v>
      </c>
      <c r="D149" s="21">
        <v>73310</v>
      </c>
      <c r="E149" s="23">
        <f aca="true" t="shared" si="50" ref="E149:E159">(+C149-D149)/D149</f>
        <v>-0.14163142818169416</v>
      </c>
      <c r="F149" s="21">
        <f>+C149-30201</f>
        <v>32726</v>
      </c>
      <c r="G149" s="21">
        <f>+D149-35214</f>
        <v>38096</v>
      </c>
      <c r="H149" s="23">
        <f aca="true" t="shared" si="51" ref="H149:H159">(+F149-G149)/G149</f>
        <v>-0.14095968080638388</v>
      </c>
      <c r="I149" s="24">
        <f aca="true" t="shared" si="52" ref="I149:I159">K149/C149</f>
        <v>46.5557015271664</v>
      </c>
      <c r="J149" s="24">
        <f aca="true" t="shared" si="53" ref="J149:J159">K149/F149</f>
        <v>89.51936166962048</v>
      </c>
      <c r="K149" s="21">
        <v>2929610.63</v>
      </c>
      <c r="L149" s="21">
        <v>3001887.38</v>
      </c>
      <c r="M149" s="25">
        <f aca="true" t="shared" si="54" ref="M149:M159">(+K149-L149)/L149</f>
        <v>-0.024077102452790884</v>
      </c>
      <c r="N149" s="10"/>
      <c r="R149" s="2"/>
    </row>
    <row r="150" spans="1:18" ht="15" customHeight="1">
      <c r="A150" s="19"/>
      <c r="B150" s="20">
        <f>DATE(2017,8,1)</f>
        <v>42948</v>
      </c>
      <c r="C150" s="21">
        <v>58528</v>
      </c>
      <c r="D150" s="21">
        <v>68681</v>
      </c>
      <c r="E150" s="23">
        <f t="shared" si="50"/>
        <v>-0.1478283659236179</v>
      </c>
      <c r="F150" s="21">
        <f>+C150-27538</f>
        <v>30990</v>
      </c>
      <c r="G150" s="21">
        <f>+D150-33144</f>
        <v>35537</v>
      </c>
      <c r="H150" s="23">
        <f t="shared" si="51"/>
        <v>-0.12795114950614853</v>
      </c>
      <c r="I150" s="24">
        <f t="shared" si="52"/>
        <v>45.66702706396938</v>
      </c>
      <c r="J150" s="24">
        <f t="shared" si="53"/>
        <v>86.24716876411745</v>
      </c>
      <c r="K150" s="21">
        <v>2672799.76</v>
      </c>
      <c r="L150" s="21">
        <v>2805830.16</v>
      </c>
      <c r="M150" s="25">
        <f t="shared" si="54"/>
        <v>-0.04741213559412319</v>
      </c>
      <c r="N150" s="10"/>
      <c r="R150" s="2"/>
    </row>
    <row r="151" spans="1:18" ht="15" customHeight="1">
      <c r="A151" s="19"/>
      <c r="B151" s="20">
        <f>DATE(2017,9,1)</f>
        <v>42979</v>
      </c>
      <c r="C151" s="21">
        <v>59418</v>
      </c>
      <c r="D151" s="21">
        <v>66932</v>
      </c>
      <c r="E151" s="23">
        <f t="shared" si="50"/>
        <v>-0.11226319249387438</v>
      </c>
      <c r="F151" s="21">
        <f>+C151-28421</f>
        <v>30997</v>
      </c>
      <c r="G151" s="21">
        <f>+D151-32466</f>
        <v>34466</v>
      </c>
      <c r="H151" s="23">
        <f t="shared" si="51"/>
        <v>-0.10064991585910753</v>
      </c>
      <c r="I151" s="24">
        <f t="shared" si="52"/>
        <v>46.52493638291427</v>
      </c>
      <c r="J151" s="24">
        <f t="shared" si="53"/>
        <v>89.18342646062521</v>
      </c>
      <c r="K151" s="21">
        <v>2764418.67</v>
      </c>
      <c r="L151" s="21">
        <v>2776425.81</v>
      </c>
      <c r="M151" s="25">
        <f t="shared" si="54"/>
        <v>-0.0043246752557743046</v>
      </c>
      <c r="N151" s="10"/>
      <c r="R151" s="2"/>
    </row>
    <row r="152" spans="1:18" ht="15" customHeight="1">
      <c r="A152" s="19"/>
      <c r="B152" s="20">
        <f>DATE(2017,10,1)</f>
        <v>43009</v>
      </c>
      <c r="C152" s="21">
        <v>52864</v>
      </c>
      <c r="D152" s="21">
        <v>66855</v>
      </c>
      <c r="E152" s="23">
        <f t="shared" si="50"/>
        <v>-0.2092738015107322</v>
      </c>
      <c r="F152" s="21">
        <f>+C152-24998</f>
        <v>27866</v>
      </c>
      <c r="G152" s="21">
        <f>+D152-32784</f>
        <v>34071</v>
      </c>
      <c r="H152" s="23">
        <f t="shared" si="51"/>
        <v>-0.18211969123301341</v>
      </c>
      <c r="I152" s="24">
        <f t="shared" si="52"/>
        <v>48.50260025726392</v>
      </c>
      <c r="J152" s="24">
        <f t="shared" si="53"/>
        <v>92.01325845115912</v>
      </c>
      <c r="K152" s="21">
        <v>2564041.46</v>
      </c>
      <c r="L152" s="21">
        <v>2823578.15</v>
      </c>
      <c r="M152" s="25">
        <f t="shared" si="54"/>
        <v>-0.09191765774218078</v>
      </c>
      <c r="N152" s="10"/>
      <c r="R152" s="2"/>
    </row>
    <row r="153" spans="1:18" ht="15" customHeight="1">
      <c r="A153" s="19"/>
      <c r="B153" s="20">
        <f>DATE(2017,11,1)</f>
        <v>43040</v>
      </c>
      <c r="C153" s="21">
        <v>54003</v>
      </c>
      <c r="D153" s="21">
        <v>61969</v>
      </c>
      <c r="E153" s="23">
        <f t="shared" si="50"/>
        <v>-0.12854814504026207</v>
      </c>
      <c r="F153" s="21">
        <f>+C153-25453</f>
        <v>28550</v>
      </c>
      <c r="G153" s="21">
        <f>+D153-31011</f>
        <v>30958</v>
      </c>
      <c r="H153" s="23">
        <f t="shared" si="51"/>
        <v>-0.07778280250662188</v>
      </c>
      <c r="I153" s="24">
        <f t="shared" si="52"/>
        <v>46.12329852045257</v>
      </c>
      <c r="J153" s="24">
        <f t="shared" si="53"/>
        <v>87.24330963222418</v>
      </c>
      <c r="K153" s="21">
        <v>2490796.49</v>
      </c>
      <c r="L153" s="21">
        <v>2631435.77</v>
      </c>
      <c r="M153" s="25">
        <f t="shared" si="54"/>
        <v>-0.05344583424888223</v>
      </c>
      <c r="N153" s="10"/>
      <c r="R153" s="2"/>
    </row>
    <row r="154" spans="1:18" ht="15" customHeight="1">
      <c r="A154" s="19"/>
      <c r="B154" s="20">
        <f>DATE(2017,12,1)</f>
        <v>43070</v>
      </c>
      <c r="C154" s="21">
        <v>55987</v>
      </c>
      <c r="D154" s="21">
        <v>62520</v>
      </c>
      <c r="E154" s="23">
        <f t="shared" si="50"/>
        <v>-0.10449456174024312</v>
      </c>
      <c r="F154" s="21">
        <f>+C154-26854</f>
        <v>29133</v>
      </c>
      <c r="G154" s="21">
        <f>+D154-31131</f>
        <v>31389</v>
      </c>
      <c r="H154" s="23">
        <f t="shared" si="51"/>
        <v>-0.07187231195641786</v>
      </c>
      <c r="I154" s="24">
        <f t="shared" si="52"/>
        <v>47.4045569507207</v>
      </c>
      <c r="J154" s="24">
        <f t="shared" si="53"/>
        <v>91.10077678234305</v>
      </c>
      <c r="K154" s="21">
        <v>2654038.93</v>
      </c>
      <c r="L154" s="21">
        <v>2786931.09</v>
      </c>
      <c r="M154" s="25">
        <f t="shared" si="54"/>
        <v>-0.04768404948254379</v>
      </c>
      <c r="N154" s="10"/>
      <c r="R154" s="2"/>
    </row>
    <row r="155" spans="1:18" ht="15" customHeight="1">
      <c r="A155" s="19"/>
      <c r="B155" s="20">
        <f>DATE(2018,1,1)</f>
        <v>43101</v>
      </c>
      <c r="C155" s="21">
        <v>52482</v>
      </c>
      <c r="D155" s="21">
        <v>64608</v>
      </c>
      <c r="E155" s="23">
        <f t="shared" si="50"/>
        <v>-0.18768573551263001</v>
      </c>
      <c r="F155" s="21">
        <f>+C155-25959</f>
        <v>26523</v>
      </c>
      <c r="G155" s="21">
        <f>+D155-31755</f>
        <v>32853</v>
      </c>
      <c r="H155" s="23">
        <f t="shared" si="51"/>
        <v>-0.19267646790247467</v>
      </c>
      <c r="I155" s="24">
        <f t="shared" si="52"/>
        <v>48.66601844441904</v>
      </c>
      <c r="J155" s="24">
        <f t="shared" si="53"/>
        <v>96.29717528183086</v>
      </c>
      <c r="K155" s="21">
        <v>2554089.98</v>
      </c>
      <c r="L155" s="21">
        <v>2744182.31</v>
      </c>
      <c r="M155" s="25">
        <f t="shared" si="54"/>
        <v>-0.0692710281336957</v>
      </c>
      <c r="N155" s="10"/>
      <c r="R155" s="2"/>
    </row>
    <row r="156" spans="1:18" ht="15" customHeight="1">
      <c r="A156" s="19"/>
      <c r="B156" s="20">
        <f>DATE(2018,2,1)</f>
        <v>43132</v>
      </c>
      <c r="C156" s="21">
        <v>54321</v>
      </c>
      <c r="D156" s="21">
        <v>71597</v>
      </c>
      <c r="E156" s="23">
        <f t="shared" si="50"/>
        <v>-0.24129502632791877</v>
      </c>
      <c r="F156" s="21">
        <f>+C156-26653</f>
        <v>27668</v>
      </c>
      <c r="G156" s="21">
        <f>+D156-35305</f>
        <v>36292</v>
      </c>
      <c r="H156" s="23">
        <f t="shared" si="51"/>
        <v>-0.23762812741099967</v>
      </c>
      <c r="I156" s="24">
        <f t="shared" si="52"/>
        <v>48.37616483496254</v>
      </c>
      <c r="J156" s="24">
        <f t="shared" si="53"/>
        <v>94.97765107705652</v>
      </c>
      <c r="K156" s="21">
        <v>2627841.65</v>
      </c>
      <c r="L156" s="21">
        <v>2870098.11</v>
      </c>
      <c r="M156" s="25">
        <f t="shared" si="54"/>
        <v>-0.0844070309498932</v>
      </c>
      <c r="N156" s="10"/>
      <c r="R156" s="2"/>
    </row>
    <row r="157" spans="1:18" ht="15" customHeight="1">
      <c r="A157" s="19"/>
      <c r="B157" s="20">
        <f>DATE(2018,3,1)</f>
        <v>43160</v>
      </c>
      <c r="C157" s="21">
        <v>72081</v>
      </c>
      <c r="D157" s="21">
        <v>80322</v>
      </c>
      <c r="E157" s="23">
        <f t="shared" si="50"/>
        <v>-0.1025995368641219</v>
      </c>
      <c r="F157" s="21">
        <f>+C157-35399</f>
        <v>36682</v>
      </c>
      <c r="G157" s="21">
        <f>+D157-39470</f>
        <v>40852</v>
      </c>
      <c r="H157" s="23">
        <f t="shared" si="51"/>
        <v>-0.10207578576324293</v>
      </c>
      <c r="I157" s="24">
        <f t="shared" si="52"/>
        <v>50.13988346443584</v>
      </c>
      <c r="J157" s="24">
        <f t="shared" si="53"/>
        <v>98.5260601930102</v>
      </c>
      <c r="K157" s="21">
        <v>3614132.94</v>
      </c>
      <c r="L157" s="21">
        <v>3274329.22</v>
      </c>
      <c r="M157" s="25">
        <f t="shared" si="54"/>
        <v>0.10377811672828663</v>
      </c>
      <c r="N157" s="10"/>
      <c r="R157" s="2"/>
    </row>
    <row r="158" spans="1:18" ht="15" customHeight="1">
      <c r="A158" s="19"/>
      <c r="B158" s="20">
        <f>DATE(2018,4,1)</f>
        <v>43191</v>
      </c>
      <c r="C158" s="21">
        <v>60066</v>
      </c>
      <c r="D158" s="21">
        <v>72550</v>
      </c>
      <c r="E158" s="23">
        <f t="shared" si="50"/>
        <v>-0.17207443142660234</v>
      </c>
      <c r="F158" s="21">
        <f>+C158-29108</f>
        <v>30958</v>
      </c>
      <c r="G158" s="21">
        <f>+D158-34427</f>
        <v>38123</v>
      </c>
      <c r="H158" s="23">
        <f t="shared" si="51"/>
        <v>-0.18794428560186763</v>
      </c>
      <c r="I158" s="24">
        <f t="shared" si="52"/>
        <v>48.44034079179569</v>
      </c>
      <c r="J158" s="24">
        <f t="shared" si="53"/>
        <v>93.9859651786291</v>
      </c>
      <c r="K158" s="21">
        <v>2909617.51</v>
      </c>
      <c r="L158" s="21">
        <v>2988566.55</v>
      </c>
      <c r="M158" s="25">
        <f t="shared" si="54"/>
        <v>-0.026417025914982566</v>
      </c>
      <c r="N158" s="10"/>
      <c r="R158" s="2"/>
    </row>
    <row r="159" spans="1:18" ht="15" customHeight="1">
      <c r="A159" s="19"/>
      <c r="B159" s="20">
        <f>DATE(2018,5,1)</f>
        <v>43221</v>
      </c>
      <c r="C159" s="21">
        <v>60028</v>
      </c>
      <c r="D159" s="21">
        <v>66410</v>
      </c>
      <c r="E159" s="23">
        <f t="shared" si="50"/>
        <v>-0.0960999849420268</v>
      </c>
      <c r="F159" s="21">
        <f>+C159-28729</f>
        <v>31299</v>
      </c>
      <c r="G159" s="21">
        <f>+D159-30782</f>
        <v>35628</v>
      </c>
      <c r="H159" s="23">
        <f t="shared" si="51"/>
        <v>-0.12150555742674302</v>
      </c>
      <c r="I159" s="24">
        <f t="shared" si="52"/>
        <v>48.7460590057973</v>
      </c>
      <c r="J159" s="24">
        <f t="shared" si="53"/>
        <v>93.48951819546951</v>
      </c>
      <c r="K159" s="21">
        <v>2926128.43</v>
      </c>
      <c r="L159" s="21">
        <v>2875557.16</v>
      </c>
      <c r="M159" s="25">
        <f t="shared" si="54"/>
        <v>0.01758659876543717</v>
      </c>
      <c r="N159" s="10"/>
      <c r="R159" s="2"/>
    </row>
    <row r="160" spans="1:18" ht="15.75" thickBot="1">
      <c r="A160" s="38"/>
      <c r="B160" s="20"/>
      <c r="C160" s="21"/>
      <c r="D160" s="21"/>
      <c r="E160" s="23"/>
      <c r="F160" s="21"/>
      <c r="G160" s="21"/>
      <c r="H160" s="23"/>
      <c r="I160" s="24"/>
      <c r="J160" s="24"/>
      <c r="K160" s="21"/>
      <c r="L160" s="21"/>
      <c r="M160" s="25"/>
      <c r="N160" s="10"/>
      <c r="R160" s="2"/>
    </row>
    <row r="161" spans="1:18" ht="17.25" thickBot="1" thickTop="1">
      <c r="A161" s="62" t="s">
        <v>14</v>
      </c>
      <c r="B161" s="52"/>
      <c r="C161" s="48">
        <f>SUM(C149:C160)</f>
        <v>642705</v>
      </c>
      <c r="D161" s="48">
        <f>SUM(D149:D160)</f>
        <v>755754</v>
      </c>
      <c r="E161" s="280">
        <f>(+C161-D161)/D161</f>
        <v>-0.14958438857088419</v>
      </c>
      <c r="F161" s="48">
        <f>SUM(F149:F160)</f>
        <v>333392</v>
      </c>
      <c r="G161" s="48">
        <f>SUM(G149:G160)</f>
        <v>388265</v>
      </c>
      <c r="H161" s="42">
        <f>(+F161-G161)/G161</f>
        <v>-0.14132873166522864</v>
      </c>
      <c r="I161" s="50">
        <f>K161/C161</f>
        <v>47.77855540255638</v>
      </c>
      <c r="J161" s="50">
        <f>K161/F161</f>
        <v>92.10633863440033</v>
      </c>
      <c r="K161" s="48">
        <f>SUM(K149:K160)</f>
        <v>30707516.449999996</v>
      </c>
      <c r="L161" s="48">
        <f>SUM(L149:L160)</f>
        <v>31578821.709999997</v>
      </c>
      <c r="M161" s="44">
        <f>(+K161-L161)/L161</f>
        <v>-0.027591443024743614</v>
      </c>
      <c r="N161" s="10"/>
      <c r="R161" s="2"/>
    </row>
    <row r="162" spans="1:18" ht="15.75" customHeight="1" thickTop="1">
      <c r="A162" s="19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5.75">
      <c r="A163" s="19" t="s">
        <v>19</v>
      </c>
      <c r="B163" s="20">
        <f>DATE(2017,7,1)</f>
        <v>42917</v>
      </c>
      <c r="C163" s="21">
        <v>504566</v>
      </c>
      <c r="D163" s="21">
        <v>563540</v>
      </c>
      <c r="E163" s="23">
        <f aca="true" t="shared" si="55" ref="E163:E173">(+C163-D163)/D163</f>
        <v>-0.10464918195691521</v>
      </c>
      <c r="F163" s="21">
        <f>+C163-244721</f>
        <v>259845</v>
      </c>
      <c r="G163" s="21">
        <f>+D163-291099</f>
        <v>272441</v>
      </c>
      <c r="H163" s="23">
        <f aca="true" t="shared" si="56" ref="H163:H173">(+F163-G163)/G163</f>
        <v>-0.04623386347869814</v>
      </c>
      <c r="I163" s="24">
        <f aca="true" t="shared" si="57" ref="I163:I173">K163/C163</f>
        <v>47.04090033811236</v>
      </c>
      <c r="J163" s="24">
        <f aca="true" t="shared" si="58" ref="J163:J173">K163/F163</f>
        <v>91.34383544035869</v>
      </c>
      <c r="K163" s="21">
        <v>23735238.92</v>
      </c>
      <c r="L163" s="21">
        <v>23596498.81</v>
      </c>
      <c r="M163" s="25">
        <f aca="true" t="shared" si="59" ref="M163:M173">(+K163-L163)/L163</f>
        <v>0.005879690504813631</v>
      </c>
      <c r="N163" s="10"/>
      <c r="R163" s="2"/>
    </row>
    <row r="164" spans="1:18" ht="15.75">
      <c r="A164" s="19"/>
      <c r="B164" s="20">
        <f>DATE(2017,8,1)</f>
        <v>42948</v>
      </c>
      <c r="C164" s="21">
        <v>457218</v>
      </c>
      <c r="D164" s="21">
        <v>486709</v>
      </c>
      <c r="E164" s="23">
        <f t="shared" si="55"/>
        <v>-0.06059267447283695</v>
      </c>
      <c r="F164" s="21">
        <f>+C164-220228</f>
        <v>236990</v>
      </c>
      <c r="G164" s="21">
        <f>+D164-236659</f>
        <v>250050</v>
      </c>
      <c r="H164" s="23">
        <f t="shared" si="56"/>
        <v>-0.052229554089182166</v>
      </c>
      <c r="I164" s="24">
        <f t="shared" si="57"/>
        <v>46.81798590606669</v>
      </c>
      <c r="J164" s="24">
        <f t="shared" si="58"/>
        <v>90.32459546816321</v>
      </c>
      <c r="K164" s="21">
        <v>21406025.88</v>
      </c>
      <c r="L164" s="21">
        <v>20653783.03</v>
      </c>
      <c r="M164" s="25">
        <f t="shared" si="59"/>
        <v>0.0364215528413052</v>
      </c>
      <c r="N164" s="10"/>
      <c r="R164" s="2"/>
    </row>
    <row r="165" spans="1:18" ht="15.75">
      <c r="A165" s="19"/>
      <c r="B165" s="20">
        <f>DATE(2017,9,1)</f>
        <v>42979</v>
      </c>
      <c r="C165" s="21">
        <v>469781</v>
      </c>
      <c r="D165" s="21">
        <v>486459</v>
      </c>
      <c r="E165" s="23">
        <f t="shared" si="55"/>
        <v>-0.03428449262938912</v>
      </c>
      <c r="F165" s="21">
        <f>+C165-233419</f>
        <v>236362</v>
      </c>
      <c r="G165" s="21">
        <f>+D165-234302</f>
        <v>252157</v>
      </c>
      <c r="H165" s="23">
        <f t="shared" si="56"/>
        <v>-0.06263954599713671</v>
      </c>
      <c r="I165" s="24">
        <f t="shared" si="57"/>
        <v>46.84166528659099</v>
      </c>
      <c r="J165" s="24">
        <f t="shared" si="58"/>
        <v>93.10009375449522</v>
      </c>
      <c r="K165" s="21">
        <v>22005324.36</v>
      </c>
      <c r="L165" s="21">
        <v>21731947.99</v>
      </c>
      <c r="M165" s="25">
        <f t="shared" si="59"/>
        <v>0.012579469181768508</v>
      </c>
      <c r="N165" s="10"/>
      <c r="R165" s="2"/>
    </row>
    <row r="166" spans="1:18" ht="15.75">
      <c r="A166" s="19"/>
      <c r="B166" s="20">
        <f>DATE(2017,10,1)</f>
        <v>43009</v>
      </c>
      <c r="C166" s="21">
        <v>443959</v>
      </c>
      <c r="D166" s="21">
        <v>477593</v>
      </c>
      <c r="E166" s="23">
        <f t="shared" si="55"/>
        <v>-0.07042398025096683</v>
      </c>
      <c r="F166" s="21">
        <f>+C166-215005</f>
        <v>228954</v>
      </c>
      <c r="G166" s="21">
        <f>+D166-232483</f>
        <v>245110</v>
      </c>
      <c r="H166" s="23">
        <f t="shared" si="56"/>
        <v>-0.06591326343274448</v>
      </c>
      <c r="I166" s="24">
        <f t="shared" si="57"/>
        <v>47.42121524735392</v>
      </c>
      <c r="J166" s="24">
        <f t="shared" si="58"/>
        <v>91.95329760563257</v>
      </c>
      <c r="K166" s="21">
        <v>21053075.3</v>
      </c>
      <c r="L166" s="21">
        <v>21659363.64</v>
      </c>
      <c r="M166" s="25">
        <f t="shared" si="59"/>
        <v>-0.027991973821443254</v>
      </c>
      <c r="N166" s="10"/>
      <c r="R166" s="2"/>
    </row>
    <row r="167" spans="1:18" ht="15.75">
      <c r="A167" s="19"/>
      <c r="B167" s="20">
        <f>DATE(2017,11,1)</f>
        <v>43040</v>
      </c>
      <c r="C167" s="21">
        <v>438651</v>
      </c>
      <c r="D167" s="21">
        <v>459053</v>
      </c>
      <c r="E167" s="23">
        <f t="shared" si="55"/>
        <v>-0.044443669903039516</v>
      </c>
      <c r="F167" s="21">
        <f>+C167-216495</f>
        <v>222156</v>
      </c>
      <c r="G167" s="21">
        <f>+D167-224175</f>
        <v>234878</v>
      </c>
      <c r="H167" s="23">
        <f t="shared" si="56"/>
        <v>-0.054164289546062214</v>
      </c>
      <c r="I167" s="24">
        <f t="shared" si="57"/>
        <v>47.66654841776264</v>
      </c>
      <c r="J167" s="24">
        <f t="shared" si="58"/>
        <v>94.11845338410846</v>
      </c>
      <c r="K167" s="21">
        <v>20908979.13</v>
      </c>
      <c r="L167" s="21">
        <v>19929888.68</v>
      </c>
      <c r="M167" s="25">
        <f t="shared" si="59"/>
        <v>0.049126739527779406</v>
      </c>
      <c r="N167" s="10"/>
      <c r="R167" s="2"/>
    </row>
    <row r="168" spans="1:18" ht="15.75">
      <c r="A168" s="19"/>
      <c r="B168" s="20">
        <f>DATE(2017,12,1)</f>
        <v>43070</v>
      </c>
      <c r="C168" s="21">
        <v>489188</v>
      </c>
      <c r="D168" s="21">
        <v>472440</v>
      </c>
      <c r="E168" s="23">
        <f t="shared" si="55"/>
        <v>0.0354500042333418</v>
      </c>
      <c r="F168" s="21">
        <f>+C168-242094</f>
        <v>247094</v>
      </c>
      <c r="G168" s="21">
        <f>+D168-231079</f>
        <v>241361</v>
      </c>
      <c r="H168" s="23">
        <f t="shared" si="56"/>
        <v>0.023752801819680893</v>
      </c>
      <c r="I168" s="24">
        <f t="shared" si="57"/>
        <v>45.852801458743876</v>
      </c>
      <c r="J168" s="24">
        <f t="shared" si="58"/>
        <v>90.7777616615539</v>
      </c>
      <c r="K168" s="21">
        <v>22430640.24</v>
      </c>
      <c r="L168" s="21">
        <v>22002920</v>
      </c>
      <c r="M168" s="25">
        <f t="shared" si="59"/>
        <v>0.01943924897240904</v>
      </c>
      <c r="N168" s="10"/>
      <c r="R168" s="2"/>
    </row>
    <row r="169" spans="1:18" ht="15.75">
      <c r="A169" s="19"/>
      <c r="B169" s="20">
        <f>DATE(2018,1,1)</f>
        <v>43101</v>
      </c>
      <c r="C169" s="21">
        <v>417488</v>
      </c>
      <c r="D169" s="21">
        <v>431914</v>
      </c>
      <c r="E169" s="23">
        <f t="shared" si="55"/>
        <v>-0.033400167625962575</v>
      </c>
      <c r="F169" s="21">
        <f>+C169-207200</f>
        <v>210288</v>
      </c>
      <c r="G169" s="21">
        <f>+D169-215306</f>
        <v>216608</v>
      </c>
      <c r="H169" s="23">
        <f t="shared" si="56"/>
        <v>-0.029177131038558134</v>
      </c>
      <c r="I169" s="24">
        <f t="shared" si="57"/>
        <v>48.03263665063427</v>
      </c>
      <c r="J169" s="24">
        <f t="shared" si="58"/>
        <v>95.35993214068326</v>
      </c>
      <c r="K169" s="21">
        <v>20053049.41</v>
      </c>
      <c r="L169" s="21">
        <v>19897433.17</v>
      </c>
      <c r="M169" s="25">
        <f t="shared" si="59"/>
        <v>0.007820920350401073</v>
      </c>
      <c r="N169" s="10"/>
      <c r="R169" s="2"/>
    </row>
    <row r="170" spans="1:18" ht="15.75">
      <c r="A170" s="19"/>
      <c r="B170" s="20">
        <f>DATE(2018,2,1)</f>
        <v>43132</v>
      </c>
      <c r="C170" s="21">
        <v>430711</v>
      </c>
      <c r="D170" s="21">
        <v>452807</v>
      </c>
      <c r="E170" s="23">
        <f t="shared" si="55"/>
        <v>-0.04879783218899001</v>
      </c>
      <c r="F170" s="21">
        <f>+C170-217330</f>
        <v>213381</v>
      </c>
      <c r="G170" s="21">
        <f>+D170-220846</f>
        <v>231961</v>
      </c>
      <c r="H170" s="23">
        <f t="shared" si="56"/>
        <v>-0.08009967192760852</v>
      </c>
      <c r="I170" s="24">
        <f t="shared" si="57"/>
        <v>47.66773295783019</v>
      </c>
      <c r="J170" s="24">
        <f t="shared" si="58"/>
        <v>96.21764322971586</v>
      </c>
      <c r="K170" s="21">
        <v>20531016.93</v>
      </c>
      <c r="L170" s="21">
        <v>21299823.14</v>
      </c>
      <c r="M170" s="25">
        <f t="shared" si="59"/>
        <v>-0.03609448796578134</v>
      </c>
      <c r="N170" s="10"/>
      <c r="R170" s="2"/>
    </row>
    <row r="171" spans="1:18" ht="15.75">
      <c r="A171" s="19"/>
      <c r="B171" s="20">
        <f>DATE(2018,3,1)</f>
        <v>43160</v>
      </c>
      <c r="C171" s="21">
        <v>521467</v>
      </c>
      <c r="D171" s="21">
        <v>526085</v>
      </c>
      <c r="E171" s="23">
        <f t="shared" si="55"/>
        <v>-0.008778049174563046</v>
      </c>
      <c r="F171" s="21">
        <f>+C171-260794</f>
        <v>260673</v>
      </c>
      <c r="G171" s="21">
        <f>+D171-262524</f>
        <v>263561</v>
      </c>
      <c r="H171" s="23">
        <f t="shared" si="56"/>
        <v>-0.010957615125151293</v>
      </c>
      <c r="I171" s="24">
        <f t="shared" si="57"/>
        <v>49.03701724174301</v>
      </c>
      <c r="J171" s="24">
        <f t="shared" si="58"/>
        <v>98.09679663793335</v>
      </c>
      <c r="K171" s="21">
        <v>25571186.27</v>
      </c>
      <c r="L171" s="21">
        <v>24915267.97</v>
      </c>
      <c r="M171" s="25">
        <f t="shared" si="59"/>
        <v>0.026325958074774853</v>
      </c>
      <c r="N171" s="10"/>
      <c r="R171" s="2"/>
    </row>
    <row r="172" spans="1:18" ht="15.75">
      <c r="A172" s="19"/>
      <c r="B172" s="20">
        <f>DATE(2018,4,1)</f>
        <v>43191</v>
      </c>
      <c r="C172" s="21">
        <v>465006</v>
      </c>
      <c r="D172" s="21">
        <v>479757</v>
      </c>
      <c r="E172" s="23">
        <f t="shared" si="55"/>
        <v>-0.03074681557538504</v>
      </c>
      <c r="F172" s="21">
        <f>+C172-234252</f>
        <v>230754</v>
      </c>
      <c r="G172" s="21">
        <f>+D172-241216</f>
        <v>238541</v>
      </c>
      <c r="H172" s="23">
        <f t="shared" si="56"/>
        <v>-0.03264428337266969</v>
      </c>
      <c r="I172" s="24">
        <f t="shared" si="57"/>
        <v>48.25875414510781</v>
      </c>
      <c r="J172" s="24">
        <f t="shared" si="58"/>
        <v>97.2490627681427</v>
      </c>
      <c r="K172" s="21">
        <v>22440610.23</v>
      </c>
      <c r="L172" s="21">
        <v>21938363.06</v>
      </c>
      <c r="M172" s="25">
        <f t="shared" si="59"/>
        <v>0.022893557218758225</v>
      </c>
      <c r="N172" s="10"/>
      <c r="R172" s="2"/>
    </row>
    <row r="173" spans="1:18" ht="15.75">
      <c r="A173" s="19"/>
      <c r="B173" s="20">
        <f>DATE(2018,5,1)</f>
        <v>43221</v>
      </c>
      <c r="C173" s="21">
        <v>440547</v>
      </c>
      <c r="D173" s="21">
        <v>472678</v>
      </c>
      <c r="E173" s="23">
        <f t="shared" si="55"/>
        <v>-0.06797650832067496</v>
      </c>
      <c r="F173" s="21">
        <f>+C173-216178</f>
        <v>224369</v>
      </c>
      <c r="G173" s="21">
        <f>+D173-231634</f>
        <v>241044</v>
      </c>
      <c r="H173" s="23">
        <f t="shared" si="56"/>
        <v>-0.06917824131693799</v>
      </c>
      <c r="I173" s="24">
        <f t="shared" si="57"/>
        <v>50.55996275085292</v>
      </c>
      <c r="J173" s="24">
        <f t="shared" si="58"/>
        <v>99.27414174863729</v>
      </c>
      <c r="K173" s="21">
        <v>22274039.91</v>
      </c>
      <c r="L173" s="21">
        <v>22415506.22</v>
      </c>
      <c r="M173" s="25">
        <f t="shared" si="59"/>
        <v>-0.0063110914655042155</v>
      </c>
      <c r="N173" s="10"/>
      <c r="R173" s="2"/>
    </row>
    <row r="174" spans="1:18" ht="15.75" thickBot="1">
      <c r="A174" s="38"/>
      <c r="B174" s="45"/>
      <c r="C174" s="21"/>
      <c r="D174" s="21"/>
      <c r="E174" s="23"/>
      <c r="F174" s="21"/>
      <c r="G174" s="21"/>
      <c r="H174" s="23"/>
      <c r="I174" s="24"/>
      <c r="J174" s="24"/>
      <c r="K174" s="21"/>
      <c r="L174" s="21"/>
      <c r="M174" s="25"/>
      <c r="N174" s="10"/>
      <c r="R174" s="2"/>
    </row>
    <row r="175" spans="1:18" ht="17.25" thickBot="1" thickTop="1">
      <c r="A175" s="39" t="s">
        <v>14</v>
      </c>
      <c r="B175" s="40"/>
      <c r="C175" s="41">
        <f>SUM(C163:C174)</f>
        <v>5078582</v>
      </c>
      <c r="D175" s="41">
        <f>SUM(D163:D174)</f>
        <v>5309035</v>
      </c>
      <c r="E175" s="280">
        <f>(+C175-D175)/D175</f>
        <v>-0.043407700269446334</v>
      </c>
      <c r="F175" s="41">
        <f>SUM(F163:F174)</f>
        <v>2570866</v>
      </c>
      <c r="G175" s="41">
        <f>SUM(G163:G174)</f>
        <v>2687712</v>
      </c>
      <c r="H175" s="42">
        <f>(+F175-G175)/G175</f>
        <v>-0.04347415199247538</v>
      </c>
      <c r="I175" s="43">
        <f>K175/C175</f>
        <v>47.73166733942663</v>
      </c>
      <c r="J175" s="43">
        <f>K175/F175</f>
        <v>94.29086797211522</v>
      </c>
      <c r="K175" s="41">
        <f>SUM(K163:K174)</f>
        <v>242409186.57999998</v>
      </c>
      <c r="L175" s="41">
        <f>SUM(L163:L174)</f>
        <v>240040795.70999998</v>
      </c>
      <c r="M175" s="44">
        <f>(+K175-L175)/L175</f>
        <v>0.009866618142948185</v>
      </c>
      <c r="N175" s="10"/>
      <c r="R175" s="2"/>
    </row>
    <row r="176" spans="1:18" ht="15.75" customHeight="1" thickTop="1">
      <c r="A176" s="19"/>
      <c r="B176" s="45"/>
      <c r="C176" s="21"/>
      <c r="D176" s="21"/>
      <c r="E176" s="23"/>
      <c r="F176" s="21"/>
      <c r="G176" s="21"/>
      <c r="H176" s="23"/>
      <c r="I176" s="24"/>
      <c r="J176" s="24"/>
      <c r="K176" s="21"/>
      <c r="L176" s="21"/>
      <c r="M176" s="25"/>
      <c r="N176" s="10"/>
      <c r="R176" s="2"/>
    </row>
    <row r="177" spans="1:18" ht="15.75">
      <c r="A177" s="19" t="s">
        <v>63</v>
      </c>
      <c r="B177" s="20">
        <f>DATE(2017,7,1)</f>
        <v>42917</v>
      </c>
      <c r="C177" s="21">
        <v>79906</v>
      </c>
      <c r="D177" s="21">
        <v>90995</v>
      </c>
      <c r="E177" s="23">
        <f aca="true" t="shared" si="60" ref="E177:E187">(+C177-D177)/D177</f>
        <v>-0.12186383867245452</v>
      </c>
      <c r="F177" s="21">
        <f>+C177-36860</f>
        <v>43046</v>
      </c>
      <c r="G177" s="21">
        <f>+D177-43310</f>
        <v>47685</v>
      </c>
      <c r="H177" s="23">
        <f aca="true" t="shared" si="61" ref="H177:H187">(+F177-G177)/G177</f>
        <v>-0.09728426129810212</v>
      </c>
      <c r="I177" s="24">
        <f aca="true" t="shared" si="62" ref="I177:I187">K177/C177</f>
        <v>41.48382036392761</v>
      </c>
      <c r="J177" s="24">
        <f aca="true" t="shared" si="63" ref="J177:J187">K177/F177</f>
        <v>77.00613645867212</v>
      </c>
      <c r="K177" s="21">
        <v>3314806.15</v>
      </c>
      <c r="L177" s="21">
        <v>3405161.57</v>
      </c>
      <c r="M177" s="25">
        <f aca="true" t="shared" si="64" ref="M177:M187">(+K177-L177)/L177</f>
        <v>-0.026534840753532858</v>
      </c>
      <c r="N177" s="10"/>
      <c r="R177" s="2"/>
    </row>
    <row r="178" spans="1:18" ht="15.75">
      <c r="A178" s="19"/>
      <c r="B178" s="20">
        <f>DATE(2017,8,1)</f>
        <v>42948</v>
      </c>
      <c r="C178" s="21">
        <v>79783</v>
      </c>
      <c r="D178" s="21">
        <v>81875</v>
      </c>
      <c r="E178" s="23">
        <f t="shared" si="60"/>
        <v>-0.02555114503816794</v>
      </c>
      <c r="F178" s="21">
        <f>+C178-35821</f>
        <v>43962</v>
      </c>
      <c r="G178" s="21">
        <f>+D178-38874</f>
        <v>43001</v>
      </c>
      <c r="H178" s="23">
        <f t="shared" si="61"/>
        <v>0.022348317480988814</v>
      </c>
      <c r="I178" s="24">
        <f t="shared" si="62"/>
        <v>40.543974656255095</v>
      </c>
      <c r="J178" s="24">
        <f t="shared" si="63"/>
        <v>73.5799083299213</v>
      </c>
      <c r="K178" s="21">
        <v>3234719.93</v>
      </c>
      <c r="L178" s="21">
        <v>3227442.54</v>
      </c>
      <c r="M178" s="25">
        <f t="shared" si="64"/>
        <v>0.002254847269875835</v>
      </c>
      <c r="N178" s="10"/>
      <c r="R178" s="2"/>
    </row>
    <row r="179" spans="1:18" ht="15.75">
      <c r="A179" s="19"/>
      <c r="B179" s="20">
        <f>DATE(2017,9,1)</f>
        <v>42979</v>
      </c>
      <c r="C179" s="21">
        <v>84353</v>
      </c>
      <c r="D179" s="21">
        <v>77996</v>
      </c>
      <c r="E179" s="23">
        <f t="shared" si="60"/>
        <v>0.08150417970152316</v>
      </c>
      <c r="F179" s="21">
        <f>+C179-38205</f>
        <v>46148</v>
      </c>
      <c r="G179" s="21">
        <f>+D179-37134</f>
        <v>40862</v>
      </c>
      <c r="H179" s="23">
        <f t="shared" si="61"/>
        <v>0.12936224364935636</v>
      </c>
      <c r="I179" s="24">
        <f t="shared" si="62"/>
        <v>41.11766030846562</v>
      </c>
      <c r="J179" s="24">
        <f t="shared" si="63"/>
        <v>75.15814336482622</v>
      </c>
      <c r="K179" s="21">
        <v>3468398</v>
      </c>
      <c r="L179" s="21">
        <v>3211171.21</v>
      </c>
      <c r="M179" s="25">
        <f t="shared" si="64"/>
        <v>0.08010372950497399</v>
      </c>
      <c r="N179" s="10"/>
      <c r="R179" s="2"/>
    </row>
    <row r="180" spans="1:18" ht="15.75">
      <c r="A180" s="19"/>
      <c r="B180" s="20">
        <f>DATE(2017,10,1)</f>
        <v>43009</v>
      </c>
      <c r="C180" s="21">
        <v>80014</v>
      </c>
      <c r="D180" s="21">
        <v>81415</v>
      </c>
      <c r="E180" s="23">
        <f t="shared" si="60"/>
        <v>-0.01720813117975803</v>
      </c>
      <c r="F180" s="21">
        <f>+C180-36610</f>
        <v>43404</v>
      </c>
      <c r="G180" s="21">
        <f>+D180-39008</f>
        <v>42407</v>
      </c>
      <c r="H180" s="23">
        <f t="shared" si="61"/>
        <v>0.02351026953097366</v>
      </c>
      <c r="I180" s="24">
        <f t="shared" si="62"/>
        <v>42.121276276651585</v>
      </c>
      <c r="J180" s="24">
        <f t="shared" si="63"/>
        <v>77.6493364666851</v>
      </c>
      <c r="K180" s="21">
        <v>3370291.8</v>
      </c>
      <c r="L180" s="21">
        <v>3237622.05</v>
      </c>
      <c r="M180" s="25">
        <f t="shared" si="64"/>
        <v>0.04097752855371121</v>
      </c>
      <c r="N180" s="10"/>
      <c r="R180" s="2"/>
    </row>
    <row r="181" spans="1:18" ht="15.75">
      <c r="A181" s="19"/>
      <c r="B181" s="20">
        <f>DATE(2017,11,1)</f>
        <v>43040</v>
      </c>
      <c r="C181" s="21">
        <v>81471</v>
      </c>
      <c r="D181" s="21">
        <v>79210</v>
      </c>
      <c r="E181" s="23">
        <f t="shared" si="60"/>
        <v>0.02854437571013761</v>
      </c>
      <c r="F181" s="21">
        <f>+C181-37675</f>
        <v>43796</v>
      </c>
      <c r="G181" s="21">
        <f>+D181-38642</f>
        <v>40568</v>
      </c>
      <c r="H181" s="23">
        <f t="shared" si="61"/>
        <v>0.07957010451587458</v>
      </c>
      <c r="I181" s="24">
        <f t="shared" si="62"/>
        <v>42.033816572768224</v>
      </c>
      <c r="J181" s="24">
        <f t="shared" si="63"/>
        <v>78.19291875970409</v>
      </c>
      <c r="K181" s="21">
        <v>3424537.07</v>
      </c>
      <c r="L181" s="21">
        <v>3067872.51</v>
      </c>
      <c r="M181" s="25">
        <f t="shared" si="64"/>
        <v>0.11625794710745659</v>
      </c>
      <c r="N181" s="10"/>
      <c r="R181" s="2"/>
    </row>
    <row r="182" spans="1:18" ht="15.75">
      <c r="A182" s="19"/>
      <c r="B182" s="20">
        <f>DATE(2017,12,1)</f>
        <v>43070</v>
      </c>
      <c r="C182" s="21">
        <v>87056</v>
      </c>
      <c r="D182" s="21">
        <v>84348</v>
      </c>
      <c r="E182" s="23">
        <f t="shared" si="60"/>
        <v>0.03210508844311661</v>
      </c>
      <c r="F182" s="21">
        <f>+C182-40605</f>
        <v>46451</v>
      </c>
      <c r="G182" s="21">
        <f>+D182-40782</f>
        <v>43566</v>
      </c>
      <c r="H182" s="23">
        <f t="shared" si="61"/>
        <v>0.06622136528485516</v>
      </c>
      <c r="I182" s="24">
        <f t="shared" si="62"/>
        <v>43.27050576640323</v>
      </c>
      <c r="J182" s="24">
        <f t="shared" si="63"/>
        <v>81.09528643086263</v>
      </c>
      <c r="K182" s="21">
        <v>3766957.15</v>
      </c>
      <c r="L182" s="21">
        <v>3395559.65</v>
      </c>
      <c r="M182" s="25">
        <f t="shared" si="64"/>
        <v>0.10937740410479904</v>
      </c>
      <c r="N182" s="10"/>
      <c r="R182" s="2"/>
    </row>
    <row r="183" spans="1:18" ht="15.75">
      <c r="A183" s="19"/>
      <c r="B183" s="20">
        <f>DATE(2018,1,1)</f>
        <v>43101</v>
      </c>
      <c r="C183" s="21">
        <v>80564</v>
      </c>
      <c r="D183" s="21">
        <v>81990</v>
      </c>
      <c r="E183" s="23">
        <f t="shared" si="60"/>
        <v>-0.017392364922551532</v>
      </c>
      <c r="F183" s="21">
        <f>+C183-37104</f>
        <v>43460</v>
      </c>
      <c r="G183" s="21">
        <f>+D183-39665</f>
        <v>42325</v>
      </c>
      <c r="H183" s="23">
        <f t="shared" si="61"/>
        <v>0.026816302421736563</v>
      </c>
      <c r="I183" s="24">
        <f t="shared" si="62"/>
        <v>40.31286604438707</v>
      </c>
      <c r="J183" s="24">
        <f t="shared" si="63"/>
        <v>74.72999861942016</v>
      </c>
      <c r="K183" s="21">
        <v>3247765.74</v>
      </c>
      <c r="L183" s="21">
        <v>3194844.34</v>
      </c>
      <c r="M183" s="25">
        <f t="shared" si="64"/>
        <v>0.01656462549283399</v>
      </c>
      <c r="N183" s="10"/>
      <c r="R183" s="2"/>
    </row>
    <row r="184" spans="1:18" ht="15.75">
      <c r="A184" s="19"/>
      <c r="B184" s="20">
        <f>DATE(2018,2,1)</f>
        <v>43132</v>
      </c>
      <c r="C184" s="21">
        <v>82056</v>
      </c>
      <c r="D184" s="21">
        <v>90518</v>
      </c>
      <c r="E184" s="23">
        <f t="shared" si="60"/>
        <v>-0.0934841688945845</v>
      </c>
      <c r="F184" s="21">
        <f>+C184-38030</f>
        <v>44026</v>
      </c>
      <c r="G184" s="21">
        <f>+D184-42790</f>
        <v>47728</v>
      </c>
      <c r="H184" s="23">
        <f t="shared" si="61"/>
        <v>-0.07756453234998324</v>
      </c>
      <c r="I184" s="24">
        <f t="shared" si="62"/>
        <v>43.376592692795164</v>
      </c>
      <c r="J184" s="24">
        <f t="shared" si="63"/>
        <v>80.84562962794712</v>
      </c>
      <c r="K184" s="21">
        <v>3559309.69</v>
      </c>
      <c r="L184" s="21">
        <v>3465001.29</v>
      </c>
      <c r="M184" s="25">
        <f t="shared" si="64"/>
        <v>0.02721742132453864</v>
      </c>
      <c r="N184" s="10"/>
      <c r="R184" s="2"/>
    </row>
    <row r="185" spans="1:18" ht="15.75">
      <c r="A185" s="19"/>
      <c r="B185" s="20">
        <f>DATE(2018,3,1)</f>
        <v>43160</v>
      </c>
      <c r="C185" s="21">
        <v>100462</v>
      </c>
      <c r="D185" s="21">
        <v>104418</v>
      </c>
      <c r="E185" s="23">
        <f t="shared" si="60"/>
        <v>-0.03788618820509874</v>
      </c>
      <c r="F185" s="21">
        <f>+C185-46682</f>
        <v>53780</v>
      </c>
      <c r="G185" s="21">
        <f>+D185-48501</f>
        <v>55917</v>
      </c>
      <c r="H185" s="23">
        <f t="shared" si="61"/>
        <v>-0.038217357869699736</v>
      </c>
      <c r="I185" s="24">
        <f t="shared" si="62"/>
        <v>43.719761402321275</v>
      </c>
      <c r="J185" s="24">
        <f t="shared" si="63"/>
        <v>81.66929471922647</v>
      </c>
      <c r="K185" s="21">
        <v>4392174.67</v>
      </c>
      <c r="L185" s="21">
        <v>3935038.9</v>
      </c>
      <c r="M185" s="25">
        <f t="shared" si="64"/>
        <v>0.11617058474313939</v>
      </c>
      <c r="N185" s="10"/>
      <c r="R185" s="2"/>
    </row>
    <row r="186" spans="1:18" ht="15.75">
      <c r="A186" s="19"/>
      <c r="B186" s="20">
        <f>DATE(2018,4,1)</f>
        <v>43191</v>
      </c>
      <c r="C186" s="21">
        <v>88416</v>
      </c>
      <c r="D186" s="21">
        <v>85832</v>
      </c>
      <c r="E186" s="23">
        <f t="shared" si="60"/>
        <v>0.030105322024419796</v>
      </c>
      <c r="F186" s="21">
        <f>+C186-40698</f>
        <v>47718</v>
      </c>
      <c r="G186" s="21">
        <f>+D186-41090</f>
        <v>44742</v>
      </c>
      <c r="H186" s="23">
        <f t="shared" si="61"/>
        <v>0.06651468418935229</v>
      </c>
      <c r="I186" s="24">
        <f t="shared" si="62"/>
        <v>43.34700981722765</v>
      </c>
      <c r="J186" s="24">
        <f t="shared" si="63"/>
        <v>80.31705478016681</v>
      </c>
      <c r="K186" s="21">
        <v>3832569.22</v>
      </c>
      <c r="L186" s="21">
        <v>3480876.24</v>
      </c>
      <c r="M186" s="25">
        <f t="shared" si="64"/>
        <v>0.10103576104159336</v>
      </c>
      <c r="N186" s="10"/>
      <c r="R186" s="2"/>
    </row>
    <row r="187" spans="1:18" ht="15.75">
      <c r="A187" s="19"/>
      <c r="B187" s="20">
        <f>DATE(2018,5,1)</f>
        <v>43221</v>
      </c>
      <c r="C187" s="21">
        <v>84886</v>
      </c>
      <c r="D187" s="21">
        <v>80172</v>
      </c>
      <c r="E187" s="23">
        <f t="shared" si="60"/>
        <v>0.05879858304645013</v>
      </c>
      <c r="F187" s="21">
        <f>+C187-37859</f>
        <v>47027</v>
      </c>
      <c r="G187" s="21">
        <f>+D187-37803</f>
        <v>42369</v>
      </c>
      <c r="H187" s="23">
        <f t="shared" si="61"/>
        <v>0.10993887040052869</v>
      </c>
      <c r="I187" s="24">
        <f t="shared" si="62"/>
        <v>42.99754871239073</v>
      </c>
      <c r="J187" s="24">
        <f t="shared" si="63"/>
        <v>77.61264635209561</v>
      </c>
      <c r="K187" s="21">
        <v>3649889.92</v>
      </c>
      <c r="L187" s="21">
        <v>3297881.83</v>
      </c>
      <c r="M187" s="25">
        <f t="shared" si="64"/>
        <v>0.10673762983193362</v>
      </c>
      <c r="N187" s="10"/>
      <c r="R187" s="2"/>
    </row>
    <row r="188" spans="1:18" ht="15.75" thickBot="1">
      <c r="A188" s="38"/>
      <c r="B188" s="45"/>
      <c r="C188" s="21"/>
      <c r="D188" s="21"/>
      <c r="E188" s="23"/>
      <c r="F188" s="21"/>
      <c r="G188" s="21"/>
      <c r="H188" s="23"/>
      <c r="I188" s="24"/>
      <c r="J188" s="24"/>
      <c r="K188" s="21"/>
      <c r="L188" s="21"/>
      <c r="M188" s="25"/>
      <c r="N188" s="10"/>
      <c r="R188" s="2"/>
    </row>
    <row r="189" spans="1:18" ht="17.25" thickBot="1" thickTop="1">
      <c r="A189" s="26" t="s">
        <v>14</v>
      </c>
      <c r="B189" s="27"/>
      <c r="C189" s="28">
        <f>SUM(C177:C188)</f>
        <v>928967</v>
      </c>
      <c r="D189" s="28">
        <f>SUM(D177:D188)</f>
        <v>938769</v>
      </c>
      <c r="E189" s="280">
        <f>(+C189-D189)/D189</f>
        <v>-0.010441333277941644</v>
      </c>
      <c r="F189" s="28">
        <f>SUM(F177:F188)</f>
        <v>502818</v>
      </c>
      <c r="G189" s="28">
        <f>SUM(G177:G188)</f>
        <v>491170</v>
      </c>
      <c r="H189" s="42">
        <f>(+F189-G189)/G189</f>
        <v>0.023714803428548162</v>
      </c>
      <c r="I189" s="43">
        <f>K189/C189</f>
        <v>42.263524258665804</v>
      </c>
      <c r="J189" s="43">
        <f>K189/F189</f>
        <v>78.08276422085127</v>
      </c>
      <c r="K189" s="28">
        <f>SUM(K177:K188)</f>
        <v>39261419.339999996</v>
      </c>
      <c r="L189" s="28">
        <f>SUM(L177:L188)</f>
        <v>36918472.129999995</v>
      </c>
      <c r="M189" s="44">
        <f>(+K189-L189)/L189</f>
        <v>0.06346273490814695</v>
      </c>
      <c r="N189" s="10"/>
      <c r="R189" s="2"/>
    </row>
    <row r="190" spans="1:18" ht="16.5" thickBot="1" thickTop="1">
      <c r="A190" s="63"/>
      <c r="B190" s="34"/>
      <c r="C190" s="35"/>
      <c r="D190" s="35"/>
      <c r="E190" s="29"/>
      <c r="F190" s="35"/>
      <c r="G190" s="35"/>
      <c r="H190" s="29"/>
      <c r="I190" s="36"/>
      <c r="J190" s="36"/>
      <c r="K190" s="35"/>
      <c r="L190" s="35"/>
      <c r="M190" s="37"/>
      <c r="N190" s="10"/>
      <c r="R190" s="2"/>
    </row>
    <row r="191" spans="1:18" ht="17.25" thickBot="1" thickTop="1">
      <c r="A191" s="64" t="s">
        <v>20</v>
      </c>
      <c r="B191" s="65"/>
      <c r="C191" s="28">
        <f>C189+C175+C77+C105+C119+C49+C21+C133+C147+C63+C161+C35+C91</f>
        <v>36509122</v>
      </c>
      <c r="D191" s="28">
        <f>D189+D175+D77+D105+D119+D49+D21+D133+D147+D63+D161+D35+D91</f>
        <v>37606988</v>
      </c>
      <c r="E191" s="279">
        <f>(+C191-D191)/D191</f>
        <v>-0.0291931382539862</v>
      </c>
      <c r="F191" s="28">
        <f>F189+F175+F77+F105+F119+F49+F21+F133+F147+F63+F161+F35+F91</f>
        <v>18842443</v>
      </c>
      <c r="G191" s="28">
        <f>G189+G175+G77+G105+G119+G49+G21+G133+G147+G63+G161+G35+G91</f>
        <v>19271715</v>
      </c>
      <c r="H191" s="30">
        <f>(+F191-G191)/G191</f>
        <v>-0.022274717117807107</v>
      </c>
      <c r="I191" s="31">
        <f>K191/C191</f>
        <v>43.76447823889055</v>
      </c>
      <c r="J191" s="31">
        <f>K191/F191</f>
        <v>84.7980633556912</v>
      </c>
      <c r="K191" s="28">
        <f>K189+K175+K77+K105+K119+K49+K21+K133+K147+K63+K161+K35+K91</f>
        <v>1597802675.2900002</v>
      </c>
      <c r="L191" s="28">
        <f>L189+L175+L77+L105+L119+L49+L21+L133+L147+L63+L161+L35+L91</f>
        <v>1579615273.3000002</v>
      </c>
      <c r="M191" s="32">
        <f>(+K191-L191)/L191</f>
        <v>0.011513817508236933</v>
      </c>
      <c r="N191" s="10"/>
      <c r="R191" s="2"/>
    </row>
    <row r="192" spans="1:18" ht="17.25" thickBot="1" thickTop="1">
      <c r="A192" s="64"/>
      <c r="B192" s="65"/>
      <c r="C192" s="28"/>
      <c r="D192" s="28"/>
      <c r="E192" s="29"/>
      <c r="F192" s="28"/>
      <c r="G192" s="28"/>
      <c r="H192" s="30"/>
      <c r="I192" s="31"/>
      <c r="J192" s="31"/>
      <c r="K192" s="28"/>
      <c r="L192" s="28"/>
      <c r="M192" s="32"/>
      <c r="N192" s="10"/>
      <c r="R192" s="2"/>
    </row>
    <row r="193" spans="1:18" ht="17.25" thickBot="1" thickTop="1">
      <c r="A193" s="64" t="s">
        <v>21</v>
      </c>
      <c r="B193" s="65"/>
      <c r="C193" s="28">
        <f>+C19+C33+C47+C61+C75+C89+C103+C117+C131+C145+C159+C173+C187</f>
        <v>3260487</v>
      </c>
      <c r="D193" s="28">
        <f>+D19+D33+D47+D61+D75+D89+D103+D117+D131+D145+D159+D173+D187</f>
        <v>3371115</v>
      </c>
      <c r="E193" s="279">
        <f>(+C193-D193)/D193</f>
        <v>-0.03281644203772342</v>
      </c>
      <c r="F193" s="28">
        <f>+F19+F33+F47+F61+F75+F89+F103+F117+F131+F145+F159+F173+F187</f>
        <v>1704573</v>
      </c>
      <c r="G193" s="28">
        <f>+G19+G33+G47+G61+G75+G89+G103+G117+G131+G145+G159+G173+G187</f>
        <v>1759011</v>
      </c>
      <c r="H193" s="30">
        <f>(+F193-G193)/G193</f>
        <v>-0.030948072524844928</v>
      </c>
      <c r="I193" s="31">
        <f>K193/C193</f>
        <v>44.5263528853205</v>
      </c>
      <c r="J193" s="31">
        <f>K193/F193</f>
        <v>85.16947924201544</v>
      </c>
      <c r="K193" s="28">
        <f>+K19+K33+K47+K61+K75+K89+K103+K117+K131+K145+K159+K173+K187</f>
        <v>145177594.73999998</v>
      </c>
      <c r="L193" s="28">
        <f>+L19+L33+L47+L61+L75+L89+L103+L117+L131+L145+L159+L173+L187</f>
        <v>145280942.82000002</v>
      </c>
      <c r="M193" s="44">
        <f>(+K193-L193)/L193</f>
        <v>-0.0007113670794943076</v>
      </c>
      <c r="N193" s="10"/>
      <c r="R193" s="2"/>
    </row>
    <row r="194" spans="1:18" ht="15.75" thickTop="1">
      <c r="A194" s="66"/>
      <c r="B194" s="67"/>
      <c r="C194" s="68"/>
      <c r="D194" s="67"/>
      <c r="E194" s="67"/>
      <c r="F194" s="67"/>
      <c r="G194" s="67"/>
      <c r="H194" s="67"/>
      <c r="I194" s="67"/>
      <c r="J194" s="67"/>
      <c r="K194" s="68"/>
      <c r="L194" s="68"/>
      <c r="M194" s="67"/>
      <c r="R194" s="2"/>
    </row>
    <row r="195" spans="1:18" ht="18.75">
      <c r="A195" s="264" t="s">
        <v>22</v>
      </c>
      <c r="B195" s="70"/>
      <c r="C195" s="71"/>
      <c r="D195" s="71"/>
      <c r="E195" s="71"/>
      <c r="F195" s="71"/>
      <c r="G195" s="71"/>
      <c r="H195" s="71"/>
      <c r="I195" s="71"/>
      <c r="J195" s="71"/>
      <c r="K195" s="198"/>
      <c r="L195" s="198"/>
      <c r="M195" s="71"/>
      <c r="N195" s="2"/>
      <c r="O195" s="2"/>
      <c r="P195" s="2"/>
      <c r="Q195" s="2"/>
      <c r="R195" s="2"/>
    </row>
    <row r="196" spans="1:18" ht="18">
      <c r="A196" s="69"/>
      <c r="B196" s="70"/>
      <c r="C196" s="71"/>
      <c r="D196" s="71"/>
      <c r="E196" s="71"/>
      <c r="F196" s="71"/>
      <c r="G196" s="71"/>
      <c r="H196" s="71"/>
      <c r="I196" s="71"/>
      <c r="J196" s="71"/>
      <c r="K196" s="198"/>
      <c r="L196" s="198"/>
      <c r="M196" s="71"/>
      <c r="N196" s="2"/>
      <c r="O196" s="2"/>
      <c r="P196" s="2"/>
      <c r="Q196" s="2"/>
      <c r="R196" s="2"/>
    </row>
    <row r="197" spans="1:18" ht="15.75">
      <c r="A197" s="72"/>
      <c r="B197" s="73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73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73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73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73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73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73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73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73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73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4"/>
      <c r="N206" s="2"/>
      <c r="O206" s="2"/>
      <c r="P206" s="2"/>
      <c r="Q206" s="2"/>
      <c r="R206" s="2"/>
    </row>
    <row r="207" spans="1:18" ht="15">
      <c r="A207" s="2"/>
      <c r="B207" s="73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4"/>
      <c r="N207" s="2"/>
      <c r="O207" s="2"/>
      <c r="P207" s="2"/>
      <c r="Q207" s="2"/>
      <c r="R207" s="2"/>
    </row>
    <row r="208" spans="1:18" ht="15">
      <c r="A208" s="2"/>
      <c r="B208" s="70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4"/>
      <c r="N208" s="2"/>
      <c r="O208" s="2"/>
      <c r="P208" s="2"/>
      <c r="Q208" s="2"/>
      <c r="R208" s="2"/>
    </row>
    <row r="209" spans="1:18" ht="15.75">
      <c r="A209" s="76"/>
      <c r="B209" s="70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.75">
      <c r="A210" s="76"/>
      <c r="B210" s="70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.75">
      <c r="A211" s="76"/>
      <c r="B211" s="70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70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.75">
      <c r="A213" s="76"/>
      <c r="B213" s="73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73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73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77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77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77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77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77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.75">
      <c r="A226" s="76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.75">
      <c r="A229" s="76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.75">
      <c r="A230" s="76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.75">
      <c r="A231" s="76"/>
      <c r="B231" s="77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77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77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77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77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77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77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77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77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.75">
      <c r="A244" s="76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.75">
      <c r="A247" s="76"/>
      <c r="B247" s="77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77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77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.75">
      <c r="A253" s="76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.75">
      <c r="A256" s="76"/>
      <c r="B256" s="76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74"/>
      <c r="D327" s="74"/>
      <c r="E327" s="74"/>
      <c r="F327" s="74"/>
      <c r="G327" s="74"/>
      <c r="H327" s="74"/>
      <c r="I327" s="74"/>
      <c r="J327" s="74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74"/>
      <c r="D328" s="74"/>
      <c r="E328" s="74"/>
      <c r="F328" s="74"/>
      <c r="G328" s="74"/>
      <c r="H328" s="74"/>
      <c r="I328" s="74"/>
      <c r="J328" s="74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74"/>
      <c r="D329" s="74"/>
      <c r="E329" s="74"/>
      <c r="F329" s="74"/>
      <c r="G329" s="74"/>
      <c r="H329" s="74"/>
      <c r="I329" s="74"/>
      <c r="J329" s="74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74"/>
      <c r="D330" s="74"/>
      <c r="E330" s="74"/>
      <c r="F330" s="74"/>
      <c r="G330" s="74"/>
      <c r="H330" s="74"/>
      <c r="I330" s="74"/>
      <c r="J330" s="74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74"/>
      <c r="D331" s="74"/>
      <c r="E331" s="74"/>
      <c r="F331" s="74"/>
      <c r="G331" s="74"/>
      <c r="H331" s="74"/>
      <c r="I331" s="74"/>
      <c r="J331" s="74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74"/>
      <c r="D332" s="74"/>
      <c r="E332" s="74"/>
      <c r="F332" s="74"/>
      <c r="G332" s="74"/>
      <c r="H332" s="74"/>
      <c r="I332" s="74"/>
      <c r="J332" s="74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74"/>
      <c r="D333" s="74"/>
      <c r="E333" s="74"/>
      <c r="F333" s="74"/>
      <c r="G333" s="74"/>
      <c r="H333" s="74"/>
      <c r="I333" s="74"/>
      <c r="J333" s="74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74"/>
      <c r="D334" s="74"/>
      <c r="E334" s="74"/>
      <c r="F334" s="74"/>
      <c r="G334" s="74"/>
      <c r="H334" s="74"/>
      <c r="I334" s="74"/>
      <c r="J334" s="74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74"/>
      <c r="D335" s="74"/>
      <c r="E335" s="74"/>
      <c r="F335" s="74"/>
      <c r="G335" s="74"/>
      <c r="H335" s="74"/>
      <c r="I335" s="74"/>
      <c r="J335" s="74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74"/>
      <c r="D336" s="74"/>
      <c r="E336" s="74"/>
      <c r="F336" s="74"/>
      <c r="G336" s="74"/>
      <c r="H336" s="74"/>
      <c r="I336" s="74"/>
      <c r="J336" s="74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74"/>
      <c r="D337" s="74"/>
      <c r="E337" s="74"/>
      <c r="F337" s="74"/>
      <c r="G337" s="74"/>
      <c r="H337" s="74"/>
      <c r="I337" s="74"/>
      <c r="J337" s="74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74"/>
      <c r="D338" s="74"/>
      <c r="E338" s="74"/>
      <c r="F338" s="74"/>
      <c r="G338" s="74"/>
      <c r="H338" s="74"/>
      <c r="I338" s="74"/>
      <c r="J338" s="74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74"/>
      <c r="D339" s="74"/>
      <c r="E339" s="74"/>
      <c r="F339" s="74"/>
      <c r="G339" s="74"/>
      <c r="H339" s="74"/>
      <c r="I339" s="74"/>
      <c r="J339" s="74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  <row r="453" spans="1:18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2"/>
      <c r="L453" s="192"/>
      <c r="M453" s="75"/>
      <c r="N453" s="2"/>
      <c r="O453" s="2"/>
      <c r="P453" s="2"/>
      <c r="Q453" s="2"/>
      <c r="R453" s="2"/>
    </row>
    <row r="454" spans="1:18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2"/>
      <c r="L454" s="192"/>
      <c r="M454" s="75"/>
      <c r="N454" s="2"/>
      <c r="O454" s="2"/>
      <c r="P454" s="2"/>
      <c r="Q454" s="2"/>
      <c r="R454" s="2"/>
    </row>
    <row r="455" spans="1:18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2"/>
      <c r="L455" s="192"/>
      <c r="M455" s="75"/>
      <c r="N455" s="2"/>
      <c r="O455" s="2"/>
      <c r="P455" s="2"/>
      <c r="Q455" s="2"/>
      <c r="R455" s="2"/>
    </row>
    <row r="456" spans="1:18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2"/>
      <c r="L456" s="192"/>
      <c r="M456" s="75"/>
      <c r="N456" s="2"/>
      <c r="O456" s="2"/>
      <c r="P456" s="2"/>
      <c r="Q456" s="2"/>
      <c r="R456" s="2"/>
    </row>
    <row r="457" spans="1:18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2"/>
      <c r="L457" s="192"/>
      <c r="M457" s="75"/>
      <c r="N457" s="2"/>
      <c r="O457" s="2"/>
      <c r="P457" s="2"/>
      <c r="Q457" s="2"/>
      <c r="R457" s="2"/>
    </row>
    <row r="458" spans="1:18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2"/>
      <c r="L458" s="192"/>
      <c r="M458" s="75"/>
      <c r="N458" s="2"/>
      <c r="O458" s="2"/>
      <c r="P458" s="2"/>
      <c r="Q458" s="2"/>
      <c r="R458" s="2"/>
    </row>
    <row r="459" spans="1:18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2"/>
      <c r="L459" s="192"/>
      <c r="M459" s="75"/>
      <c r="N459" s="2"/>
      <c r="O459" s="2"/>
      <c r="P459" s="2"/>
      <c r="Q459" s="2"/>
      <c r="R459" s="2"/>
    </row>
    <row r="460" spans="1:18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2"/>
      <c r="L460" s="192"/>
      <c r="M460" s="75"/>
      <c r="N460" s="2"/>
      <c r="O460" s="2"/>
      <c r="P460" s="2"/>
      <c r="Q460" s="2"/>
      <c r="R460" s="2"/>
    </row>
    <row r="461" spans="1:18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2"/>
      <c r="L461" s="192"/>
      <c r="M461" s="75"/>
      <c r="N461" s="2"/>
      <c r="O461" s="2"/>
      <c r="P461" s="2"/>
      <c r="Q461" s="2"/>
      <c r="R461" s="2"/>
    </row>
    <row r="462" spans="1:18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2"/>
      <c r="L462" s="192"/>
      <c r="M462" s="75"/>
      <c r="N462" s="2"/>
      <c r="O462" s="2"/>
      <c r="P462" s="2"/>
      <c r="Q462" s="2"/>
      <c r="R462" s="2"/>
    </row>
    <row r="463" spans="1:18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2"/>
      <c r="L463" s="192"/>
      <c r="M463" s="75"/>
      <c r="N463" s="2"/>
      <c r="O463" s="2"/>
      <c r="P463" s="2"/>
      <c r="Q463" s="2"/>
      <c r="R463" s="2"/>
    </row>
    <row r="464" spans="1:18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2"/>
      <c r="L464" s="192"/>
      <c r="M464" s="75"/>
      <c r="N464" s="2"/>
      <c r="O464" s="2"/>
      <c r="P464" s="2"/>
      <c r="Q464" s="2"/>
      <c r="R464" s="2"/>
    </row>
    <row r="465" spans="1:18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2"/>
      <c r="L465" s="192"/>
      <c r="M465" s="75"/>
      <c r="N465" s="2"/>
      <c r="O465" s="2"/>
      <c r="P465" s="2"/>
      <c r="Q465" s="2"/>
      <c r="R465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6" r:id="rId1"/>
  <rowBreaks count="4" manualBreakCount="4">
    <brk id="49" max="12" man="1"/>
    <brk id="91" max="12" man="1"/>
    <brk id="133" max="12" man="1"/>
    <brk id="17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3" sqref="A3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DATE(2017,7,1)</f>
        <v>42917</v>
      </c>
      <c r="B10" s="89">
        <f>'MONTHLY STATS'!$C$9*2</f>
        <v>590094</v>
      </c>
      <c r="C10" s="89">
        <f>'MONTHLY STATS'!$C$23*2</f>
        <v>308970</v>
      </c>
      <c r="D10" s="89">
        <f>'MONTHLY STATS'!$C$37*2</f>
        <v>149730</v>
      </c>
      <c r="E10" s="89">
        <f>'MONTHLY STATS'!$C$51*2</f>
        <v>1005414</v>
      </c>
      <c r="F10" s="89">
        <f>'MONTHLY STATS'!$C$65*2</f>
        <v>664254</v>
      </c>
      <c r="G10" s="89">
        <f>'MONTHLY STATS'!$C$79*2</f>
        <v>311360</v>
      </c>
      <c r="H10" s="89">
        <f>'MONTHLY STATS'!$C$93*2</f>
        <v>353238</v>
      </c>
      <c r="I10" s="89">
        <f>'MONTHLY STATS'!$C$107*2</f>
        <v>733508</v>
      </c>
      <c r="J10" s="89">
        <f>'MONTHLY STATS'!$C$121*2</f>
        <v>804648</v>
      </c>
      <c r="K10" s="89">
        <f>'MONTHLY STATS'!$C$135*2</f>
        <v>975242</v>
      </c>
      <c r="L10" s="89">
        <f>'MONTHLY STATS'!$C$149*2</f>
        <v>125854</v>
      </c>
      <c r="M10" s="89">
        <f>'MONTHLY STATS'!$C$163*2</f>
        <v>1009132</v>
      </c>
      <c r="N10" s="89">
        <f>'MONTHLY STATS'!$C$177*2</f>
        <v>159812</v>
      </c>
      <c r="O10" s="90">
        <f aca="true" t="shared" si="0" ref="O10:O15">SUM(B10:N10)</f>
        <v>7191256</v>
      </c>
      <c r="P10" s="83"/>
    </row>
    <row r="11" spans="1:16" ht="15.75">
      <c r="A11" s="88">
        <f>DATE(2017,8,1)</f>
        <v>42948</v>
      </c>
      <c r="B11" s="89">
        <f>'MONTHLY STATS'!$C$10*2</f>
        <v>537376</v>
      </c>
      <c r="C11" s="89">
        <f>'MONTHLY STATS'!$C$24*2</f>
        <v>293770</v>
      </c>
      <c r="D11" s="89">
        <f>'MONTHLY STATS'!$C$38*2</f>
        <v>134350</v>
      </c>
      <c r="E11" s="89">
        <f>'MONTHLY STATS'!$C$52*2</f>
        <v>906982</v>
      </c>
      <c r="F11" s="89">
        <f>'MONTHLY STATS'!$C$66*2</f>
        <v>636920</v>
      </c>
      <c r="G11" s="89">
        <f>'MONTHLY STATS'!$C$80*2</f>
        <v>274594</v>
      </c>
      <c r="H11" s="89">
        <f>'MONTHLY STATS'!$C$94*2</f>
        <v>333204</v>
      </c>
      <c r="I11" s="89">
        <f>'MONTHLY STATS'!$C$108*2</f>
        <v>665186</v>
      </c>
      <c r="J11" s="89">
        <f>'MONTHLY STATS'!$C$122*2</f>
        <v>759878</v>
      </c>
      <c r="K11" s="89">
        <f>'MONTHLY STATS'!$C$136*2</f>
        <v>900952</v>
      </c>
      <c r="L11" s="89">
        <f>'MONTHLY STATS'!$C$150*2</f>
        <v>117056</v>
      </c>
      <c r="M11" s="89">
        <f>'MONTHLY STATS'!$C$164*2</f>
        <v>914436</v>
      </c>
      <c r="N11" s="89">
        <f>'MONTHLY STATS'!$C$178*2</f>
        <v>159566</v>
      </c>
      <c r="O11" s="90">
        <f t="shared" si="0"/>
        <v>6634270</v>
      </c>
      <c r="P11" s="83"/>
    </row>
    <row r="12" spans="1:16" ht="15.75">
      <c r="A12" s="88">
        <f>DATE(2017,9,1)</f>
        <v>42979</v>
      </c>
      <c r="B12" s="89">
        <f>'MONTHLY STATS'!$C$11*2</f>
        <v>563268</v>
      </c>
      <c r="C12" s="89">
        <f>'MONTHLY STATS'!$C$25*2</f>
        <v>295582</v>
      </c>
      <c r="D12" s="89">
        <f>'MONTHLY STATS'!$C$39*2</f>
        <v>139808</v>
      </c>
      <c r="E12" s="89">
        <f>'MONTHLY STATS'!$C$53*2</f>
        <v>880756</v>
      </c>
      <c r="F12" s="89">
        <f>'MONTHLY STATS'!$C$67*2</f>
        <v>638232</v>
      </c>
      <c r="G12" s="89">
        <f>'MONTHLY STATS'!$C$81*2</f>
        <v>302994</v>
      </c>
      <c r="H12" s="89">
        <f>'MONTHLY STATS'!$C$95*2</f>
        <v>338388</v>
      </c>
      <c r="I12" s="89">
        <f>'MONTHLY STATS'!$C$109*2</f>
        <v>668860</v>
      </c>
      <c r="J12" s="89">
        <f>'MONTHLY STATS'!$C$123*2</f>
        <v>767706</v>
      </c>
      <c r="K12" s="89">
        <f>'MONTHLY STATS'!$C$137*2</f>
        <v>920812</v>
      </c>
      <c r="L12" s="89">
        <f>'MONTHLY STATS'!$C$151*2</f>
        <v>118836</v>
      </c>
      <c r="M12" s="89">
        <f>'MONTHLY STATS'!$C$165*2</f>
        <v>939562</v>
      </c>
      <c r="N12" s="89">
        <f>'MONTHLY STATS'!$C$179*2</f>
        <v>168706</v>
      </c>
      <c r="O12" s="90">
        <f t="shared" si="0"/>
        <v>6743510</v>
      </c>
      <c r="P12" s="83"/>
    </row>
    <row r="13" spans="1:16" ht="15.75">
      <c r="A13" s="88">
        <f>DATE(2017,10,1)</f>
        <v>43009</v>
      </c>
      <c r="B13" s="89">
        <f>'MONTHLY STATS'!$C$12*2</f>
        <v>533402</v>
      </c>
      <c r="C13" s="89">
        <f>'MONTHLY STATS'!$C$26*2</f>
        <v>275400</v>
      </c>
      <c r="D13" s="89">
        <f>'MONTHLY STATS'!$C$40*2</f>
        <v>127314</v>
      </c>
      <c r="E13" s="89">
        <f>'MONTHLY STATS'!$C$54*2</f>
        <v>839426</v>
      </c>
      <c r="F13" s="89">
        <f>'MONTHLY STATS'!$C$68*2</f>
        <v>614650</v>
      </c>
      <c r="G13" s="89">
        <f>'MONTHLY STATS'!$C$82*2</f>
        <v>292648</v>
      </c>
      <c r="H13" s="89">
        <f>'MONTHLY STATS'!$C$96*2</f>
        <v>335534</v>
      </c>
      <c r="I13" s="89">
        <f>'MONTHLY STATS'!$C$110*2</f>
        <v>633626</v>
      </c>
      <c r="J13" s="89">
        <f>'MONTHLY STATS'!$C$124*2</f>
        <v>745854</v>
      </c>
      <c r="K13" s="89">
        <f>'MONTHLY STATS'!$C$138*2</f>
        <v>834022</v>
      </c>
      <c r="L13" s="89">
        <f>'MONTHLY STATS'!$C$152*2</f>
        <v>105728</v>
      </c>
      <c r="M13" s="89">
        <f>'MONTHLY STATS'!$C$166*2</f>
        <v>887918</v>
      </c>
      <c r="N13" s="89">
        <f>'MONTHLY STATS'!$C$180*2</f>
        <v>160028</v>
      </c>
      <c r="O13" s="90">
        <f t="shared" si="0"/>
        <v>6385550</v>
      </c>
      <c r="P13" s="83"/>
    </row>
    <row r="14" spans="1:16" ht="15.75">
      <c r="A14" s="88">
        <f>DATE(2017,11,1)</f>
        <v>43040</v>
      </c>
      <c r="B14" s="89">
        <f>'MONTHLY STATS'!$C$13*2</f>
        <v>542350</v>
      </c>
      <c r="C14" s="89">
        <f>'MONTHLY STATS'!$C$27*2</f>
        <v>256542</v>
      </c>
      <c r="D14" s="89">
        <f>'MONTHLY STATS'!$C$41*2</f>
        <v>126226</v>
      </c>
      <c r="E14" s="89">
        <f>'MONTHLY STATS'!$C$55*2</f>
        <v>817206</v>
      </c>
      <c r="F14" s="89">
        <f>'MONTHLY STATS'!$C$69*2</f>
        <v>561174</v>
      </c>
      <c r="G14" s="89">
        <f>'MONTHLY STATS'!$C$83*2</f>
        <v>273588</v>
      </c>
      <c r="H14" s="89">
        <f>'MONTHLY STATS'!$C$97*2</f>
        <v>317026</v>
      </c>
      <c r="I14" s="89">
        <f>'MONTHLY STATS'!$C$111*2</f>
        <v>640368</v>
      </c>
      <c r="J14" s="89">
        <f>'MONTHLY STATS'!$C$125*2</f>
        <v>701062</v>
      </c>
      <c r="K14" s="89">
        <f>'MONTHLY STATS'!$C$139*2</f>
        <v>836644</v>
      </c>
      <c r="L14" s="89">
        <f>'MONTHLY STATS'!$C$153*2</f>
        <v>108006</v>
      </c>
      <c r="M14" s="89">
        <f>'MONTHLY STATS'!$C$167*2</f>
        <v>877302</v>
      </c>
      <c r="N14" s="89">
        <f>'MONTHLY STATS'!$C$181*2</f>
        <v>162942</v>
      </c>
      <c r="O14" s="90">
        <f t="shared" si="0"/>
        <v>6220436</v>
      </c>
      <c r="P14" s="83"/>
    </row>
    <row r="15" spans="1:16" ht="15.75">
      <c r="A15" s="88">
        <f>DATE(2017,12,1)</f>
        <v>43070</v>
      </c>
      <c r="B15" s="89">
        <f>'MONTHLY STATS'!$C$14*2</f>
        <v>571776</v>
      </c>
      <c r="C15" s="89">
        <f>'MONTHLY STATS'!$C$28*2</f>
        <v>270404</v>
      </c>
      <c r="D15" s="89">
        <f>'MONTHLY STATS'!$C$42*2</f>
        <v>134464</v>
      </c>
      <c r="E15" s="89">
        <f>'MONTHLY STATS'!$C$56*2</f>
        <v>899258</v>
      </c>
      <c r="F15" s="89">
        <f>'MONTHLY STATS'!$C$70*2</f>
        <v>613776</v>
      </c>
      <c r="G15" s="89">
        <f>'MONTHLY STATS'!$C$84*2</f>
        <v>306964</v>
      </c>
      <c r="H15" s="89">
        <f>'MONTHLY STATS'!$C$98*2</f>
        <v>333336</v>
      </c>
      <c r="I15" s="89">
        <f>'MONTHLY STATS'!$C$112*2</f>
        <v>731888</v>
      </c>
      <c r="J15" s="89">
        <f>'MONTHLY STATS'!$C$126*2</f>
        <v>780528</v>
      </c>
      <c r="K15" s="89">
        <f>'MONTHLY STATS'!$C$140*2</f>
        <v>927728</v>
      </c>
      <c r="L15" s="89">
        <f>'MONTHLY STATS'!$C$154*2</f>
        <v>111974</v>
      </c>
      <c r="M15" s="89">
        <f>'MONTHLY STATS'!$C$168*2</f>
        <v>978376</v>
      </c>
      <c r="N15" s="89">
        <f>'MONTHLY STATS'!$C$182*2</f>
        <v>174112</v>
      </c>
      <c r="O15" s="90">
        <f t="shared" si="0"/>
        <v>6834584</v>
      </c>
      <c r="P15" s="83"/>
    </row>
    <row r="16" spans="1:16" ht="15.75">
      <c r="A16" s="88">
        <f>DATE(2018,1,1)</f>
        <v>43101</v>
      </c>
      <c r="B16" s="89">
        <f>'MONTHLY STATS'!$C$15*2</f>
        <v>502748</v>
      </c>
      <c r="C16" s="89">
        <f>'MONTHLY STATS'!$C$29*2</f>
        <v>245996</v>
      </c>
      <c r="D16" s="89">
        <f>'MONTHLY STATS'!$C$43*2</f>
        <v>108440</v>
      </c>
      <c r="E16" s="89">
        <f>'MONTHLY STATS'!$C$57*2</f>
        <v>782846</v>
      </c>
      <c r="F16" s="89">
        <f>'MONTHLY STATS'!$C$71*2</f>
        <v>533382</v>
      </c>
      <c r="G16" s="89">
        <f>'MONTHLY STATS'!$C$85*2</f>
        <v>266714</v>
      </c>
      <c r="H16" s="89">
        <f>'MONTHLY STATS'!$C$99*2</f>
        <v>295152</v>
      </c>
      <c r="I16" s="89">
        <f>'MONTHLY STATS'!$C$113*2</f>
        <v>686004</v>
      </c>
      <c r="J16" s="89">
        <f>'MONTHLY STATS'!$C$127*2</f>
        <v>734310</v>
      </c>
      <c r="K16" s="89">
        <f>'MONTHLY STATS'!$C$141*2</f>
        <v>788270</v>
      </c>
      <c r="L16" s="89">
        <f>'MONTHLY STATS'!$C$155*2</f>
        <v>104964</v>
      </c>
      <c r="M16" s="89">
        <f>'MONTHLY STATS'!$C$169*2</f>
        <v>834976</v>
      </c>
      <c r="N16" s="89">
        <f>'MONTHLY STATS'!$C$183*2</f>
        <v>161128</v>
      </c>
      <c r="O16" s="90">
        <f>SUM(B16:N16)</f>
        <v>6044930</v>
      </c>
      <c r="P16" s="83"/>
    </row>
    <row r="17" spans="1:16" ht="15.75">
      <c r="A17" s="88">
        <f>DATE(2018,2,1)</f>
        <v>43132</v>
      </c>
      <c r="B17" s="89">
        <f>'MONTHLY STATS'!$C$16*2</f>
        <v>520856</v>
      </c>
      <c r="C17" s="89">
        <f>'MONTHLY STATS'!$C$30*2</f>
        <v>258692</v>
      </c>
      <c r="D17" s="89">
        <f>'MONTHLY STATS'!$C$44*2</f>
        <v>131016</v>
      </c>
      <c r="E17" s="89">
        <f>'MONTHLY STATS'!$C$58*2</f>
        <v>826838</v>
      </c>
      <c r="F17" s="89">
        <f>'MONTHLY STATS'!$C$72*2</f>
        <v>541714</v>
      </c>
      <c r="G17" s="89">
        <f>'MONTHLY STATS'!$C$86*2</f>
        <v>294228</v>
      </c>
      <c r="H17" s="89">
        <f>'MONTHLY STATS'!$C$100*2</f>
        <v>305952</v>
      </c>
      <c r="I17" s="89">
        <f>'MONTHLY STATS'!$C$114*2</f>
        <v>749768</v>
      </c>
      <c r="J17" s="89">
        <f>'MONTHLY STATS'!$C$128*2</f>
        <v>696264</v>
      </c>
      <c r="K17" s="89">
        <f>'MONTHLY STATS'!$C$142*2</f>
        <v>855856</v>
      </c>
      <c r="L17" s="89">
        <f>'MONTHLY STATS'!$C$156*2</f>
        <v>108642</v>
      </c>
      <c r="M17" s="89">
        <f>'MONTHLY STATS'!$C$170*2</f>
        <v>861422</v>
      </c>
      <c r="N17" s="89">
        <f>'MONTHLY STATS'!$C$184*2</f>
        <v>164112</v>
      </c>
      <c r="O17" s="90">
        <f>SUM(B17:N17)</f>
        <v>6315360</v>
      </c>
      <c r="P17" s="83"/>
    </row>
    <row r="18" spans="1:16" ht="15.75">
      <c r="A18" s="88">
        <f>DATE(2018,3,1)</f>
        <v>43160</v>
      </c>
      <c r="B18" s="89">
        <f>'MONTHLY STATS'!$C$17*2</f>
        <v>598080</v>
      </c>
      <c r="C18" s="89">
        <f>'MONTHLY STATS'!$C$31*2</f>
        <v>311670</v>
      </c>
      <c r="D18" s="89">
        <f>'MONTHLY STATS'!$C$45*2</f>
        <v>163022</v>
      </c>
      <c r="E18" s="89">
        <f>'MONTHLY STATS'!$C$59*2</f>
        <v>980524</v>
      </c>
      <c r="F18" s="89">
        <f>'MONTHLY STATS'!$C$73*2</f>
        <v>632168</v>
      </c>
      <c r="G18" s="89">
        <f>'MONTHLY STATS'!$C$87*2</f>
        <v>334146</v>
      </c>
      <c r="H18" s="89">
        <f>'MONTHLY STATS'!$C$101*2</f>
        <v>373878</v>
      </c>
      <c r="I18" s="89">
        <f>'MONTHLY STATS'!$C$115*2</f>
        <v>892546</v>
      </c>
      <c r="J18" s="89">
        <f>'MONTHLY STATS'!$C$129*2</f>
        <v>850654</v>
      </c>
      <c r="K18" s="89">
        <f>'MONTHLY STATS'!$C$143*2</f>
        <v>1048772</v>
      </c>
      <c r="L18" s="89">
        <f>'MONTHLY STATS'!$C$157*2</f>
        <v>144162</v>
      </c>
      <c r="M18" s="89">
        <f>'MONTHLY STATS'!$C$171*2</f>
        <v>1042934</v>
      </c>
      <c r="N18" s="89">
        <f>'MONTHLY STATS'!$C$185*2</f>
        <v>200924</v>
      </c>
      <c r="O18" s="90">
        <f>SUM(B18:N18)</f>
        <v>7573480</v>
      </c>
      <c r="P18" s="83"/>
    </row>
    <row r="19" spans="1:16" ht="15.75">
      <c r="A19" s="88">
        <f>DATE(2018,4,1)</f>
        <v>43191</v>
      </c>
      <c r="B19" s="89">
        <f>'MONTHLY STATS'!$C$18*2</f>
        <v>526918</v>
      </c>
      <c r="C19" s="89">
        <f>'MONTHLY STATS'!$C$32*2</f>
        <v>268732</v>
      </c>
      <c r="D19" s="89">
        <f>'MONTHLY STATS'!$C$46*2</f>
        <v>136122</v>
      </c>
      <c r="E19" s="89">
        <f>'MONTHLY STATS'!$C$60*2</f>
        <v>864412</v>
      </c>
      <c r="F19" s="89">
        <f>'MONTHLY STATS'!$C$74*2</f>
        <v>572058</v>
      </c>
      <c r="G19" s="89">
        <f>'MONTHLY STATS'!$C$88*2</f>
        <v>275464</v>
      </c>
      <c r="H19" s="89">
        <f>'MONTHLY STATS'!$C$102*2</f>
        <v>315904</v>
      </c>
      <c r="I19" s="89">
        <f>'MONTHLY STATS'!$C$116*2</f>
        <v>776654</v>
      </c>
      <c r="J19" s="89">
        <f>'MONTHLY STATS'!$C$130*2</f>
        <v>747624</v>
      </c>
      <c r="K19" s="89">
        <f>'MONTHLY STATS'!$C$144*2</f>
        <v>843030</v>
      </c>
      <c r="L19" s="89">
        <f>'MONTHLY STATS'!$C$158*2</f>
        <v>120132</v>
      </c>
      <c r="M19" s="89">
        <f>'MONTHLY STATS'!$C$172*2</f>
        <v>930012</v>
      </c>
      <c r="N19" s="89">
        <f>'MONTHLY STATS'!$C$186*2</f>
        <v>176832</v>
      </c>
      <c r="O19" s="90">
        <f>SUM(B19:N19)</f>
        <v>6553894</v>
      </c>
      <c r="P19" s="83"/>
    </row>
    <row r="20" spans="1:16" ht="15.75">
      <c r="A20" s="88">
        <f>DATE(2018,5,1)</f>
        <v>43221</v>
      </c>
      <c r="B20" s="89">
        <f>'MONTHLY STATS'!$C$19*2</f>
        <v>539168</v>
      </c>
      <c r="C20" s="89">
        <f>'MONTHLY STATS'!$C$33*2</f>
        <v>264186</v>
      </c>
      <c r="D20" s="89">
        <f>'MONTHLY STATS'!$C$47*2</f>
        <v>133118</v>
      </c>
      <c r="E20" s="89">
        <f>'MONTHLY STATS'!$C$61*2</f>
        <v>896738</v>
      </c>
      <c r="F20" s="89">
        <f>'MONTHLY STATS'!$C$75*2</f>
        <v>557544</v>
      </c>
      <c r="G20" s="89">
        <f>'MONTHLY STATS'!$C$89*2</f>
        <v>261550</v>
      </c>
      <c r="H20" s="89">
        <f>'MONTHLY STATS'!$C$103*2</f>
        <v>315634</v>
      </c>
      <c r="I20" s="89">
        <f>'MONTHLY STATS'!$C$117*2</f>
        <v>788740</v>
      </c>
      <c r="J20" s="89">
        <f>'MONTHLY STATS'!$C$131*2</f>
        <v>760268</v>
      </c>
      <c r="K20" s="89">
        <f>'MONTHLY STATS'!$C$145*2</f>
        <v>833106</v>
      </c>
      <c r="L20" s="89">
        <f>'MONTHLY STATS'!$C$159*2</f>
        <v>120056</v>
      </c>
      <c r="M20" s="89">
        <f>'MONTHLY STATS'!$C$173*2</f>
        <v>881094</v>
      </c>
      <c r="N20" s="89">
        <f>'MONTHLY STATS'!$C$187*2</f>
        <v>169772</v>
      </c>
      <c r="O20" s="90">
        <f>SUM(B20:N20)</f>
        <v>6520974</v>
      </c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1" ref="B23:O23">SUM(B10:B21)</f>
        <v>6026036</v>
      </c>
      <c r="C23" s="90">
        <f t="shared" si="1"/>
        <v>3049944</v>
      </c>
      <c r="D23" s="90">
        <f t="shared" si="1"/>
        <v>1483610</v>
      </c>
      <c r="E23" s="90">
        <f t="shared" si="1"/>
        <v>9700400</v>
      </c>
      <c r="F23" s="90">
        <f t="shared" si="1"/>
        <v>6565872</v>
      </c>
      <c r="G23" s="90">
        <f>SUM(G10:G21)</f>
        <v>3194250</v>
      </c>
      <c r="H23" s="90">
        <f t="shared" si="1"/>
        <v>3617246</v>
      </c>
      <c r="I23" s="90">
        <f>SUM(I10:I21)</f>
        <v>7967148</v>
      </c>
      <c r="J23" s="90">
        <f t="shared" si="1"/>
        <v>8348796</v>
      </c>
      <c r="K23" s="90">
        <f>SUM(K10:K21)</f>
        <v>9764434</v>
      </c>
      <c r="L23" s="90">
        <f t="shared" si="1"/>
        <v>1285410</v>
      </c>
      <c r="M23" s="90">
        <f t="shared" si="1"/>
        <v>10157164</v>
      </c>
      <c r="N23" s="90">
        <f t="shared" si="1"/>
        <v>1857934</v>
      </c>
      <c r="O23" s="90">
        <f t="shared" si="1"/>
        <v>73018244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DATE(2017,7,1)</f>
        <v>42917</v>
      </c>
      <c r="B31" s="89">
        <f>'MONTHLY STATS'!$K$9*0.21</f>
        <v>2970224.3633999997</v>
      </c>
      <c r="C31" s="89">
        <f>'MONTHLY STATS'!$K$23*0.21</f>
        <v>1565148.7866</v>
      </c>
      <c r="D31" s="89">
        <f>'MONTHLY STATS'!$K$37*0.21</f>
        <v>689184.5604000001</v>
      </c>
      <c r="E31" s="89">
        <f>'MONTHLY STATS'!$K$51*0.21</f>
        <v>4460611.005899999</v>
      </c>
      <c r="F31" s="89">
        <f>'MONTHLY STATS'!$K$65*0.21</f>
        <v>3565286.9028</v>
      </c>
      <c r="G31" s="89">
        <f>'MONTHLY STATS'!$K$79*0.21</f>
        <v>1196058.7758</v>
      </c>
      <c r="H31" s="89">
        <f>'MONTHLY STATS'!$K$93*0.21</f>
        <v>1298802.3132</v>
      </c>
      <c r="I31" s="89">
        <f>'MONTHLY STATS'!$K$107*0.21</f>
        <v>2631559.1526</v>
      </c>
      <c r="J31" s="89">
        <f>'MONTHLY STATS'!$K$121*0.21</f>
        <v>3431655.6056999997</v>
      </c>
      <c r="K31" s="89">
        <f>'MONTHLY STATS'!$K$135*0.21</f>
        <v>4158981.4727999996</v>
      </c>
      <c r="L31" s="89">
        <f>'MONTHLY STATS'!$K$149*0.21</f>
        <v>615218.2322999999</v>
      </c>
      <c r="M31" s="89">
        <f>'MONTHLY STATS'!$K$163*0.21</f>
        <v>4984400.1732</v>
      </c>
      <c r="N31" s="89">
        <f>'MONTHLY STATS'!$K$177*0.21</f>
        <v>696109.2914999999</v>
      </c>
      <c r="O31" s="90">
        <f aca="true" t="shared" si="2" ref="O31:O36">SUM(B31:N31)</f>
        <v>32263240.636199996</v>
      </c>
      <c r="P31" s="83"/>
    </row>
    <row r="32" spans="1:16" ht="15.75">
      <c r="A32" s="88">
        <f>DATE(2017,8,1)</f>
        <v>42948</v>
      </c>
      <c r="B32" s="89">
        <f>'MONTHLY STATS'!$K$10*0.21</f>
        <v>2730005.7833999996</v>
      </c>
      <c r="C32" s="89">
        <f>'MONTHLY STATS'!$K$24*0.21</f>
        <v>1446273.2151</v>
      </c>
      <c r="D32" s="89">
        <f>'MONTHLY STATS'!$K$38*0.21</f>
        <v>611950.0989</v>
      </c>
      <c r="E32" s="89">
        <f>'MONTHLY STATS'!$K$52*0.21</f>
        <v>4148072.1324</v>
      </c>
      <c r="F32" s="89">
        <f>'MONTHLY STATS'!$K$66*0.21</f>
        <v>3271380.7266</v>
      </c>
      <c r="G32" s="89">
        <f>'MONTHLY STATS'!$K$80*0.21</f>
        <v>1080196.9437</v>
      </c>
      <c r="H32" s="89">
        <f>'MONTHLY STATS'!$K$94*0.21</f>
        <v>1241597.3493</v>
      </c>
      <c r="I32" s="89">
        <f>'MONTHLY STATS'!$K$108*0.21</f>
        <v>2607558.1791000003</v>
      </c>
      <c r="J32" s="89">
        <f>'MONTHLY STATS'!$K$122*0.21</f>
        <v>3216207.9705</v>
      </c>
      <c r="K32" s="89">
        <f>'MONTHLY STATS'!$K$136*0.21</f>
        <v>3904257.0357000004</v>
      </c>
      <c r="L32" s="89">
        <f>'MONTHLY STATS'!$K$150*0.21</f>
        <v>561287.9495999999</v>
      </c>
      <c r="M32" s="89">
        <f>'MONTHLY STATS'!$K$164*0.21</f>
        <v>4495265.4348</v>
      </c>
      <c r="N32" s="89">
        <f>'MONTHLY STATS'!$K$178*0.21</f>
        <v>679291.1853</v>
      </c>
      <c r="O32" s="90">
        <f t="shared" si="2"/>
        <v>29993344.0044</v>
      </c>
      <c r="P32" s="83"/>
    </row>
    <row r="33" spans="1:16" ht="15.75">
      <c r="A33" s="88">
        <f>DATE(2017,9,1)</f>
        <v>42979</v>
      </c>
      <c r="B33" s="89">
        <f>'MONTHLY STATS'!$K$11*0.21</f>
        <v>2851205.0889</v>
      </c>
      <c r="C33" s="89">
        <f>'MONTHLY STATS'!$K$25*0.21</f>
        <v>1403454.1689</v>
      </c>
      <c r="D33" s="89">
        <f>'MONTHLY STATS'!$K$39*0.21</f>
        <v>681119.3676</v>
      </c>
      <c r="E33" s="89">
        <f>'MONTHLY STATS'!$K$53*0.21</f>
        <v>4198608.9096</v>
      </c>
      <c r="F33" s="89">
        <f>'MONTHLY STATS'!$K$67*0.21</f>
        <v>3271438.7937</v>
      </c>
      <c r="G33" s="89">
        <f>'MONTHLY STATS'!$K$81*0.21</f>
        <v>1236637.0274999999</v>
      </c>
      <c r="H33" s="89">
        <f>'MONTHLY STATS'!$K$95*0.21</f>
        <v>1239769.8054</v>
      </c>
      <c r="I33" s="89">
        <f>'MONTHLY STATS'!$K$109*0.21</f>
        <v>2483460.4368</v>
      </c>
      <c r="J33" s="89">
        <f>'MONTHLY STATS'!$K$123*0.21</f>
        <v>3366565.5848999997</v>
      </c>
      <c r="K33" s="89">
        <f>'MONTHLY STATS'!$K$137*0.21</f>
        <v>3930696.8672999996</v>
      </c>
      <c r="L33" s="89">
        <f>'MONTHLY STATS'!$K$151*0.21</f>
        <v>580527.9207</v>
      </c>
      <c r="M33" s="89">
        <f>'MONTHLY STATS'!$K$165*0.21</f>
        <v>4621118.1156</v>
      </c>
      <c r="N33" s="89">
        <f>'MONTHLY STATS'!$K$179*0.21</f>
        <v>728363.58</v>
      </c>
      <c r="O33" s="90">
        <f t="shared" si="2"/>
        <v>30592965.666899998</v>
      </c>
      <c r="P33" s="83"/>
    </row>
    <row r="34" spans="1:16" ht="15.75">
      <c r="A34" s="88">
        <f>DATE(2017,10,1)</f>
        <v>43009</v>
      </c>
      <c r="B34" s="89">
        <f>'MONTHLY STATS'!$K$12*0.21</f>
        <v>2774120.6199</v>
      </c>
      <c r="C34" s="89">
        <f>'MONTHLY STATS'!$K$26*0.21</f>
        <v>1312497.4506</v>
      </c>
      <c r="D34" s="89">
        <f>'MONTHLY STATS'!$K$40*0.21</f>
        <v>607619.3045999999</v>
      </c>
      <c r="E34" s="89">
        <f>'MONTHLY STATS'!$K$54*0.21</f>
        <v>3811625.0528999995</v>
      </c>
      <c r="F34" s="89">
        <f>'MONTHLY STATS'!$K$68*0.21</f>
        <v>3015099.1857</v>
      </c>
      <c r="G34" s="89">
        <f>'MONTHLY STATS'!$K$82*0.21</f>
        <v>1084988.0999999999</v>
      </c>
      <c r="H34" s="89">
        <f>'MONTHLY STATS'!$K$96*0.21</f>
        <v>1213878.2375999999</v>
      </c>
      <c r="I34" s="89">
        <f>'MONTHLY STATS'!$K$110*0.21</f>
        <v>2351178.4694999997</v>
      </c>
      <c r="J34" s="89">
        <f>'MONTHLY STATS'!$K$124*0.21</f>
        <v>3205611.7926</v>
      </c>
      <c r="K34" s="89">
        <f>'MONTHLY STATS'!$K$138*0.21</f>
        <v>3730711.8156</v>
      </c>
      <c r="L34" s="89">
        <f>'MONTHLY STATS'!$K$152*0.21</f>
        <v>538448.7065999999</v>
      </c>
      <c r="M34" s="89">
        <f>'MONTHLY STATS'!$K$166*0.21</f>
        <v>4421145.813</v>
      </c>
      <c r="N34" s="89">
        <f>'MONTHLY STATS'!$K$180*0.21</f>
        <v>707761.2779999999</v>
      </c>
      <c r="O34" s="90">
        <f t="shared" si="2"/>
        <v>28774685.8266</v>
      </c>
      <c r="P34" s="83"/>
    </row>
    <row r="35" spans="1:16" ht="15.75">
      <c r="A35" s="88">
        <f>DATE(2017,11,1)</f>
        <v>43040</v>
      </c>
      <c r="B35" s="89">
        <f>'MONTHLY STATS'!$K$13*0.21</f>
        <v>2972302.2357</v>
      </c>
      <c r="C35" s="89">
        <f>'MONTHLY STATS'!$K$27*0.21</f>
        <v>1301471.0835</v>
      </c>
      <c r="D35" s="89">
        <f>'MONTHLY STATS'!$K$41*0.21</f>
        <v>596961.8928</v>
      </c>
      <c r="E35" s="89">
        <f>'MONTHLY STATS'!$K$55*0.21</f>
        <v>3878434.3877999997</v>
      </c>
      <c r="F35" s="89">
        <f>'MONTHLY STATS'!$K$69*0.21</f>
        <v>2960921.2878</v>
      </c>
      <c r="G35" s="89">
        <f>'MONTHLY STATS'!$K$83*0.21</f>
        <v>1062825.2691</v>
      </c>
      <c r="H35" s="89">
        <f>'MONTHLY STATS'!$K$97*0.21</f>
        <v>1202665.674</v>
      </c>
      <c r="I35" s="89">
        <f>'MONTHLY STATS'!$K$111*0.21</f>
        <v>2525974.9347</v>
      </c>
      <c r="J35" s="89">
        <f>'MONTHLY STATS'!$K$125*0.21</f>
        <v>3104131.7097</v>
      </c>
      <c r="K35" s="89">
        <f>'MONTHLY STATS'!$K$139*0.21</f>
        <v>3703205.8328999993</v>
      </c>
      <c r="L35" s="89">
        <f>'MONTHLY STATS'!$K$153*0.21</f>
        <v>523067.26290000003</v>
      </c>
      <c r="M35" s="89">
        <f>'MONTHLY STATS'!$K$167*0.21</f>
        <v>4390885.6173</v>
      </c>
      <c r="N35" s="89">
        <f>'MONTHLY STATS'!$K$181*0.21</f>
        <v>719152.7847</v>
      </c>
      <c r="O35" s="90">
        <f t="shared" si="2"/>
        <v>28941999.972899992</v>
      </c>
      <c r="P35" s="83"/>
    </row>
    <row r="36" spans="1:16" ht="15.75">
      <c r="A36" s="88">
        <f>DATE(2017,12,1)</f>
        <v>43070</v>
      </c>
      <c r="B36" s="89">
        <f>'MONTHLY STATS'!$K$14*0.21</f>
        <v>3028701.0936</v>
      </c>
      <c r="C36" s="89">
        <f>'MONTHLY STATS'!$K$28*0.21</f>
        <v>1377743.5266</v>
      </c>
      <c r="D36" s="89">
        <f>'MONTHLY STATS'!$K$42*0.21</f>
        <v>648417.3674999999</v>
      </c>
      <c r="E36" s="89">
        <f>'MONTHLY STATS'!$K$56*0.21</f>
        <v>4231507.2933</v>
      </c>
      <c r="F36" s="89">
        <f>'MONTHLY STATS'!$K$70*0.21</f>
        <v>3116219.2005000003</v>
      </c>
      <c r="G36" s="89">
        <f>'MONTHLY STATS'!$K$84*0.21</f>
        <v>1182315.7962</v>
      </c>
      <c r="H36" s="89">
        <f>'MONTHLY STATS'!$K$98*0.21</f>
        <v>1239685.6878</v>
      </c>
      <c r="I36" s="89">
        <f>'MONTHLY STATS'!$K$112*0.21</f>
        <v>2754469.7103</v>
      </c>
      <c r="J36" s="89">
        <f>'MONTHLY STATS'!$K$126*0.21</f>
        <v>3453791.9661</v>
      </c>
      <c r="K36" s="89">
        <f>'MONTHLY STATS'!$K$140*0.21</f>
        <v>4044778.416</v>
      </c>
      <c r="L36" s="89">
        <f>'MONTHLY STATS'!$K$154*0.21</f>
        <v>557348.1753</v>
      </c>
      <c r="M36" s="89">
        <f>'MONTHLY STATS'!$K$168*0.21</f>
        <v>4710434.4503999995</v>
      </c>
      <c r="N36" s="89">
        <f>'MONTHLY STATS'!$K$182*0.21</f>
        <v>791061.0014999999</v>
      </c>
      <c r="O36" s="90">
        <f t="shared" si="2"/>
        <v>31136473.685099997</v>
      </c>
      <c r="P36" s="83"/>
    </row>
    <row r="37" spans="1:16" ht="15.75">
      <c r="A37" s="88">
        <f>DATE(2018,1,1)</f>
        <v>43101</v>
      </c>
      <c r="B37" s="89">
        <f>'MONTHLY STATS'!$K$15*0.21</f>
        <v>2643654.9026999995</v>
      </c>
      <c r="C37" s="89">
        <f>'MONTHLY STATS'!$K$29*0.21</f>
        <v>1267652.6750999999</v>
      </c>
      <c r="D37" s="89">
        <f>'MONTHLY STATS'!$K$43*0.21</f>
        <v>522153.5445</v>
      </c>
      <c r="E37" s="89">
        <f>'MONTHLY STATS'!$K$57*0.21</f>
        <v>3724982.3477999996</v>
      </c>
      <c r="F37" s="89">
        <f>'MONTHLY STATS'!$K$71*0.21</f>
        <v>2618147.4732</v>
      </c>
      <c r="G37" s="89">
        <f>'MONTHLY STATS'!$K$85*0.21</f>
        <v>957672.0236999999</v>
      </c>
      <c r="H37" s="89">
        <f>'MONTHLY STATS'!$K$99*0.21</f>
        <v>1110737.5377</v>
      </c>
      <c r="I37" s="89">
        <f>'MONTHLY STATS'!$K$113*0.21</f>
        <v>2574418.56</v>
      </c>
      <c r="J37" s="89">
        <f>'MONTHLY STATS'!$K$127*0.21</f>
        <v>3161896.9137</v>
      </c>
      <c r="K37" s="89">
        <f>'MONTHLY STATS'!$K$141*0.21</f>
        <v>3475380.0186</v>
      </c>
      <c r="L37" s="89">
        <f>'MONTHLY STATS'!$K$155*0.21</f>
        <v>536358.8957999999</v>
      </c>
      <c r="M37" s="89">
        <f>'MONTHLY STATS'!$K$169*0.21</f>
        <v>4211140.3761</v>
      </c>
      <c r="N37" s="89">
        <f>'MONTHLY STATS'!$K$183*0.21</f>
        <v>682030.8054000001</v>
      </c>
      <c r="O37" s="90">
        <f>SUM(B37:N37)</f>
        <v>27486226.0743</v>
      </c>
      <c r="P37" s="83"/>
    </row>
    <row r="38" spans="1:16" ht="15.75">
      <c r="A38" s="88">
        <f>DATE(2018,2,1)</f>
        <v>43132</v>
      </c>
      <c r="B38" s="89">
        <f>'MONTHLY STATS'!$K$16*0.21</f>
        <v>2897250.4554</v>
      </c>
      <c r="C38" s="89">
        <f>'MONTHLY STATS'!$K$30*0.21</f>
        <v>1349829.285</v>
      </c>
      <c r="D38" s="89">
        <f>'MONTHLY STATS'!$K$44*0.21</f>
        <v>642356.9628</v>
      </c>
      <c r="E38" s="89">
        <f>'MONTHLY STATS'!$K$58*0.21</f>
        <v>3946394.9196</v>
      </c>
      <c r="F38" s="89">
        <f>'MONTHLY STATS'!$K$72*0.21</f>
        <v>2704255.0206</v>
      </c>
      <c r="G38" s="89">
        <f>'MONTHLY STATS'!$K$86*0.21</f>
        <v>1125641.6199</v>
      </c>
      <c r="H38" s="89">
        <f>'MONTHLY STATS'!$K$100*0.21</f>
        <v>1150812.6105</v>
      </c>
      <c r="I38" s="89">
        <f>'MONTHLY STATS'!$K$114*0.21</f>
        <v>2923300.8651</v>
      </c>
      <c r="J38" s="89">
        <f>'MONTHLY STATS'!$K$128*0.21</f>
        <v>3209565.8826</v>
      </c>
      <c r="K38" s="89">
        <f>'MONTHLY STATS'!$K$142*0.21</f>
        <v>3768696.9347999995</v>
      </c>
      <c r="L38" s="89">
        <f>'MONTHLY STATS'!$K$156*0.21</f>
        <v>551846.7465</v>
      </c>
      <c r="M38" s="89">
        <f>'MONTHLY STATS'!$K$170*0.21</f>
        <v>4311513.5553</v>
      </c>
      <c r="N38" s="89">
        <f>'MONTHLY STATS'!$K$184*0.21</f>
        <v>747455.0349</v>
      </c>
      <c r="O38" s="90">
        <f>SUM(B38:N38)</f>
        <v>29328919.893</v>
      </c>
      <c r="P38" s="83"/>
    </row>
    <row r="39" spans="1:16" ht="15.75">
      <c r="A39" s="88">
        <f>DATE(2018,3,1)</f>
        <v>43160</v>
      </c>
      <c r="B39" s="89">
        <f>'MONTHLY STATS'!$K$17*0.21</f>
        <v>3246914.0108999996</v>
      </c>
      <c r="C39" s="89">
        <f>'MONTHLY STATS'!$K$31*0.21</f>
        <v>1598211.1446</v>
      </c>
      <c r="D39" s="89">
        <f>'MONTHLY STATS'!$K$45*0.21</f>
        <v>813576.2690999999</v>
      </c>
      <c r="E39" s="89">
        <f>'MONTHLY STATS'!$K$59*0.21</f>
        <v>4643391.341399999</v>
      </c>
      <c r="F39" s="89">
        <f>'MONTHLY STATS'!$K$73*0.21</f>
        <v>3274640.7939</v>
      </c>
      <c r="G39" s="89">
        <f>'MONTHLY STATS'!$K$87*0.21</f>
        <v>1382777.4050999999</v>
      </c>
      <c r="H39" s="89">
        <f>'MONTHLY STATS'!$K$101*0.21</f>
        <v>1430483.5776</v>
      </c>
      <c r="I39" s="89">
        <f>'MONTHLY STATS'!$K$115*0.21</f>
        <v>3457969.6683</v>
      </c>
      <c r="J39" s="89">
        <f>'MONTHLY STATS'!$K$129*0.21</f>
        <v>3820486.5194999995</v>
      </c>
      <c r="K39" s="89">
        <f>'MONTHLY STATS'!$K$143*0.21</f>
        <v>4640734.2513</v>
      </c>
      <c r="L39" s="89">
        <f>'MONTHLY STATS'!$K$157*0.21</f>
        <v>758967.9173999999</v>
      </c>
      <c r="M39" s="89">
        <f>'MONTHLY STATS'!$K$171*0.21</f>
        <v>5369949.1167</v>
      </c>
      <c r="N39" s="89">
        <f>'MONTHLY STATS'!$K$185*0.21</f>
        <v>922356.6806999999</v>
      </c>
      <c r="O39" s="90">
        <f>SUM(B39:N39)</f>
        <v>35360458.69649999</v>
      </c>
      <c r="P39" s="83"/>
    </row>
    <row r="40" spans="1:16" ht="15.75">
      <c r="A40" s="88">
        <f>DATE(2018,4,1)</f>
        <v>43191</v>
      </c>
      <c r="B40" s="89">
        <f>'MONTHLY STATS'!$K$18*0.21</f>
        <v>2899778.3913</v>
      </c>
      <c r="C40" s="89">
        <f>'MONTHLY STATS'!$K$32*0.21</f>
        <v>1442271.8205</v>
      </c>
      <c r="D40" s="89">
        <f>'MONTHLY STATS'!$K$46*0.21</f>
        <v>666183.6762</v>
      </c>
      <c r="E40" s="89">
        <f>'MONTHLY STATS'!$K$60*0.21</f>
        <v>4338736.7688</v>
      </c>
      <c r="F40" s="89">
        <f>'MONTHLY STATS'!$K$74*0.21</f>
        <v>2916951.3765</v>
      </c>
      <c r="G40" s="89">
        <f>'MONTHLY STATS'!$K$88*0.21</f>
        <v>1118845.5411</v>
      </c>
      <c r="H40" s="89">
        <f>'MONTHLY STATS'!$K$102*0.21</f>
        <v>1232605.332</v>
      </c>
      <c r="I40" s="89">
        <f>'MONTHLY STATS'!$K$116*0.21</f>
        <v>3065928.9822</v>
      </c>
      <c r="J40" s="89">
        <f>'MONTHLY STATS'!$K$130*0.21</f>
        <v>3445280.7858</v>
      </c>
      <c r="K40" s="89">
        <f>'MONTHLY STATS'!$K$144*0.21</f>
        <v>3917982.4236</v>
      </c>
      <c r="L40" s="89">
        <f>'MONTHLY STATS'!$K$158*0.21</f>
        <v>611019.6771</v>
      </c>
      <c r="M40" s="89">
        <f>'MONTHLY STATS'!$K$172*0.21</f>
        <v>4712528.1483</v>
      </c>
      <c r="N40" s="89">
        <f>'MONTHLY STATS'!$K$186*0.21</f>
        <v>804839.5362</v>
      </c>
      <c r="O40" s="90">
        <f>SUM(B40:N40)</f>
        <v>31172952.459599994</v>
      </c>
      <c r="P40" s="83"/>
    </row>
    <row r="41" spans="1:16" ht="15.75">
      <c r="A41" s="88">
        <f>DATE(2018,5,1)</f>
        <v>43221</v>
      </c>
      <c r="B41" s="89">
        <f>'MONTHLY STATS'!$K$19*0.21</f>
        <v>2853916.9406999997</v>
      </c>
      <c r="C41" s="89">
        <f>'MONTHLY STATS'!$K$33*0.21</f>
        <v>1397230.7622</v>
      </c>
      <c r="D41" s="89">
        <f>'MONTHLY STATS'!$K$47*0.21</f>
        <v>676278.4770000001</v>
      </c>
      <c r="E41" s="89">
        <f>'MONTHLY STATS'!$K$61*0.21</f>
        <v>4137325.2921</v>
      </c>
      <c r="F41" s="89">
        <f>'MONTHLY STATS'!$K$75*0.21</f>
        <v>2799135.843</v>
      </c>
      <c r="G41" s="89">
        <f>'MONTHLY STATS'!$K$89*0.21</f>
        <v>1099363.4274000002</v>
      </c>
      <c r="H41" s="89">
        <f>'MONTHLY STATS'!$K$103*0.21</f>
        <v>1154094.4611</v>
      </c>
      <c r="I41" s="89">
        <f>'MONTHLY STATS'!$K$117*0.21</f>
        <v>3082635.3998999996</v>
      </c>
      <c r="J41" s="89">
        <f>'MONTHLY STATS'!$K$131*0.21</f>
        <v>3439502.4468</v>
      </c>
      <c r="K41" s="89">
        <f>'MONTHLY STATS'!$K$145*0.21</f>
        <v>3789299.6106</v>
      </c>
      <c r="L41" s="89">
        <f>'MONTHLY STATS'!$K$159*0.21</f>
        <v>614486.9703</v>
      </c>
      <c r="M41" s="89">
        <f>'MONTHLY STATS'!$K$173*0.21</f>
        <v>4677548.3811</v>
      </c>
      <c r="N41" s="89">
        <f>'MONTHLY STATS'!$K$187*0.21</f>
        <v>766476.8831999999</v>
      </c>
      <c r="O41" s="90">
        <f>SUM(B41:N41)</f>
        <v>30487294.8954</v>
      </c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3" ref="B44:O44">SUM(B31:B42)</f>
        <v>31868073.8859</v>
      </c>
      <c r="C44" s="90">
        <f t="shared" si="3"/>
        <v>15461783.9187</v>
      </c>
      <c r="D44" s="90">
        <f t="shared" si="3"/>
        <v>7155801.521399999</v>
      </c>
      <c r="E44" s="90">
        <f t="shared" si="3"/>
        <v>45519689.45159999</v>
      </c>
      <c r="F44" s="90">
        <f t="shared" si="3"/>
        <v>33513476.6043</v>
      </c>
      <c r="G44" s="90">
        <f t="shared" si="3"/>
        <v>12527321.929499999</v>
      </c>
      <c r="H44" s="90">
        <f t="shared" si="3"/>
        <v>13515132.586199999</v>
      </c>
      <c r="I44" s="90">
        <f>SUM(I31:I42)</f>
        <v>30458454.3585</v>
      </c>
      <c r="J44" s="90">
        <f t="shared" si="3"/>
        <v>36854697.177899994</v>
      </c>
      <c r="K44" s="90">
        <f>SUM(K31:K42)</f>
        <v>43064724.67920001</v>
      </c>
      <c r="L44" s="90">
        <f t="shared" si="3"/>
        <v>6448578.4545</v>
      </c>
      <c r="M44" s="90">
        <f t="shared" si="3"/>
        <v>50905929.1818</v>
      </c>
      <c r="N44" s="90">
        <f t="shared" si="3"/>
        <v>8244898.061400001</v>
      </c>
      <c r="O44" s="90">
        <f t="shared" si="3"/>
        <v>335538561.8108999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6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DATE(2017,7,1)</f>
        <v>42917</v>
      </c>
      <c r="C9" s="204">
        <v>9106294</v>
      </c>
      <c r="D9" s="204">
        <v>1744231.98</v>
      </c>
      <c r="E9" s="204">
        <v>1196577.74</v>
      </c>
      <c r="F9" s="132">
        <f aca="true" t="shared" si="0" ref="F9:F19">(+D9-E9)/E9</f>
        <v>0.4576837941177144</v>
      </c>
      <c r="G9" s="215">
        <f aca="true" t="shared" si="1" ref="G9:G19">D9/C9</f>
        <v>0.1915413646868858</v>
      </c>
      <c r="H9" s="123"/>
    </row>
    <row r="10" spans="1:8" ht="15.75">
      <c r="A10" s="130"/>
      <c r="B10" s="131">
        <f>DATE(2017,8,1)</f>
        <v>42948</v>
      </c>
      <c r="C10" s="204">
        <v>7945722</v>
      </c>
      <c r="D10" s="204">
        <v>1558308</v>
      </c>
      <c r="E10" s="204">
        <v>1298265.83</v>
      </c>
      <c r="F10" s="132">
        <f t="shared" si="0"/>
        <v>0.20029963355039537</v>
      </c>
      <c r="G10" s="215">
        <f t="shared" si="1"/>
        <v>0.19611911919395117</v>
      </c>
      <c r="H10" s="123"/>
    </row>
    <row r="11" spans="1:8" ht="15.75">
      <c r="A11" s="130"/>
      <c r="B11" s="131">
        <f>DATE(2017,9,1)</f>
        <v>42979</v>
      </c>
      <c r="C11" s="204">
        <v>8101748</v>
      </c>
      <c r="D11" s="204">
        <v>1764006.5</v>
      </c>
      <c r="E11" s="204">
        <v>1352172.02</v>
      </c>
      <c r="F11" s="132">
        <f t="shared" si="0"/>
        <v>0.3045725498742386</v>
      </c>
      <c r="G11" s="215">
        <f t="shared" si="1"/>
        <v>0.21773159323148536</v>
      </c>
      <c r="H11" s="123"/>
    </row>
    <row r="12" spans="1:8" ht="15.75">
      <c r="A12" s="130"/>
      <c r="B12" s="131">
        <f>DATE(2017,10,1)</f>
        <v>43009</v>
      </c>
      <c r="C12" s="204">
        <v>9041484</v>
      </c>
      <c r="D12" s="204">
        <v>1651958.5</v>
      </c>
      <c r="E12" s="204">
        <v>1471793</v>
      </c>
      <c r="F12" s="132">
        <f t="shared" si="0"/>
        <v>0.12241225498422673</v>
      </c>
      <c r="G12" s="215">
        <f t="shared" si="1"/>
        <v>0.1827087787801206</v>
      </c>
      <c r="H12" s="123"/>
    </row>
    <row r="13" spans="1:8" ht="15.75">
      <c r="A13" s="130"/>
      <c r="B13" s="131">
        <f>DATE(2017,11,1)</f>
        <v>43040</v>
      </c>
      <c r="C13" s="204">
        <v>9136142</v>
      </c>
      <c r="D13" s="204">
        <v>2257240.5</v>
      </c>
      <c r="E13" s="204">
        <v>1464113</v>
      </c>
      <c r="F13" s="132">
        <f t="shared" si="0"/>
        <v>0.54171194436495</v>
      </c>
      <c r="G13" s="215">
        <f t="shared" si="1"/>
        <v>0.2470671427830259</v>
      </c>
      <c r="H13" s="123"/>
    </row>
    <row r="14" spans="1:8" ht="15.75">
      <c r="A14" s="130"/>
      <c r="B14" s="131">
        <f>DATE(2017,12,1)</f>
        <v>43070</v>
      </c>
      <c r="C14" s="204">
        <v>9438423</v>
      </c>
      <c r="D14" s="204">
        <v>1815083.5</v>
      </c>
      <c r="E14" s="204">
        <v>1199212.58</v>
      </c>
      <c r="F14" s="132">
        <f t="shared" si="0"/>
        <v>0.5135627579890797</v>
      </c>
      <c r="G14" s="215">
        <f t="shared" si="1"/>
        <v>0.19230792050748308</v>
      </c>
      <c r="H14" s="123"/>
    </row>
    <row r="15" spans="1:8" ht="15.75">
      <c r="A15" s="130"/>
      <c r="B15" s="131">
        <f>DATE(2018,1,1)</f>
        <v>43101</v>
      </c>
      <c r="C15" s="289">
        <v>8132859</v>
      </c>
      <c r="D15" s="204">
        <v>1650734.5</v>
      </c>
      <c r="E15" s="204">
        <v>1849187</v>
      </c>
      <c r="F15" s="132">
        <f t="shared" si="0"/>
        <v>-0.10731878387637378</v>
      </c>
      <c r="G15" s="215">
        <f t="shared" si="1"/>
        <v>0.20297099703806495</v>
      </c>
      <c r="H15" s="123"/>
    </row>
    <row r="16" spans="1:8" ht="15.75">
      <c r="A16" s="130"/>
      <c r="B16" s="131">
        <f>DATE(2018,2,1)</f>
        <v>43132</v>
      </c>
      <c r="C16" s="289">
        <v>8021208</v>
      </c>
      <c r="D16" s="204">
        <v>2102175.5</v>
      </c>
      <c r="E16" s="204">
        <v>1425537.45</v>
      </c>
      <c r="F16" s="132">
        <f t="shared" si="0"/>
        <v>0.4746546995310436</v>
      </c>
      <c r="G16" s="215">
        <f t="shared" si="1"/>
        <v>0.26207717091989136</v>
      </c>
      <c r="H16" s="123"/>
    </row>
    <row r="17" spans="1:8" ht="15.75">
      <c r="A17" s="130"/>
      <c r="B17" s="131">
        <f>DATE(2018,3,1)</f>
        <v>43160</v>
      </c>
      <c r="C17" s="289">
        <v>10076636</v>
      </c>
      <c r="D17" s="204">
        <v>2003815.5</v>
      </c>
      <c r="E17" s="204">
        <v>1884560.5</v>
      </c>
      <c r="F17" s="132">
        <f t="shared" si="0"/>
        <v>0.0632800061340562</v>
      </c>
      <c r="G17" s="215">
        <f t="shared" si="1"/>
        <v>0.19885758501150583</v>
      </c>
      <c r="H17" s="123"/>
    </row>
    <row r="18" spans="1:8" ht="15.75">
      <c r="A18" s="130"/>
      <c r="B18" s="131">
        <f>DATE(2018,4,1)</f>
        <v>43191</v>
      </c>
      <c r="C18" s="289">
        <v>9990752</v>
      </c>
      <c r="D18" s="204">
        <v>1851074.5</v>
      </c>
      <c r="E18" s="204">
        <v>1489811.34</v>
      </c>
      <c r="F18" s="132">
        <f t="shared" si="0"/>
        <v>0.24248920000837146</v>
      </c>
      <c r="G18" s="215">
        <f t="shared" si="1"/>
        <v>0.18527879583038395</v>
      </c>
      <c r="H18" s="123"/>
    </row>
    <row r="19" spans="1:8" ht="15.75">
      <c r="A19" s="130"/>
      <c r="B19" s="131">
        <f>DATE(2018,5,1)</f>
        <v>43221</v>
      </c>
      <c r="C19" s="289">
        <v>10029184</v>
      </c>
      <c r="D19" s="204">
        <v>1596844.5</v>
      </c>
      <c r="E19" s="204">
        <v>1508880.5</v>
      </c>
      <c r="F19" s="132">
        <f t="shared" si="0"/>
        <v>0.058297525880942856</v>
      </c>
      <c r="G19" s="215">
        <f t="shared" si="1"/>
        <v>0.1592197829853356</v>
      </c>
      <c r="H19" s="123"/>
    </row>
    <row r="20" spans="1:8" ht="15.75" thickBot="1">
      <c r="A20" s="133"/>
      <c r="B20" s="134"/>
      <c r="C20" s="204"/>
      <c r="D20" s="204"/>
      <c r="E20" s="204"/>
      <c r="F20" s="132"/>
      <c r="G20" s="215"/>
      <c r="H20" s="123"/>
    </row>
    <row r="21" spans="1:8" ht="17.25" thickBot="1" thickTop="1">
      <c r="A21" s="135" t="s">
        <v>14</v>
      </c>
      <c r="B21" s="136"/>
      <c r="C21" s="201">
        <f>SUM(C9:C20)</f>
        <v>99020452</v>
      </c>
      <c r="D21" s="201">
        <f>SUM(D9:D20)</f>
        <v>19995473.48</v>
      </c>
      <c r="E21" s="201">
        <f>SUM(E9:E20)</f>
        <v>16140110.959999999</v>
      </c>
      <c r="F21" s="137">
        <f>(+D21-E21)/E21</f>
        <v>0.23886840242639829</v>
      </c>
      <c r="G21" s="212">
        <f>D21/C21</f>
        <v>0.20193276314270914</v>
      </c>
      <c r="H21" s="123"/>
    </row>
    <row r="22" spans="1:8" ht="15.75" customHeight="1" thickTop="1">
      <c r="A22" s="138"/>
      <c r="B22" s="139"/>
      <c r="C22" s="205"/>
      <c r="D22" s="205"/>
      <c r="E22" s="205"/>
      <c r="F22" s="140"/>
      <c r="G22" s="216"/>
      <c r="H22" s="123"/>
    </row>
    <row r="23" spans="1:8" ht="15.75">
      <c r="A23" s="19" t="s">
        <v>15</v>
      </c>
      <c r="B23" s="131">
        <f>DATE(2017,7,1)</f>
        <v>42917</v>
      </c>
      <c r="C23" s="204">
        <v>2522382</v>
      </c>
      <c r="D23" s="204">
        <v>642088</v>
      </c>
      <c r="E23" s="204">
        <v>472086</v>
      </c>
      <c r="F23" s="132">
        <f aca="true" t="shared" si="2" ref="F23:F33">(+D23-E23)/E23</f>
        <v>0.36010811589413794</v>
      </c>
      <c r="G23" s="215">
        <f aca="true" t="shared" si="3" ref="G23:G33">D23/C23</f>
        <v>0.254556209170538</v>
      </c>
      <c r="H23" s="123"/>
    </row>
    <row r="24" spans="1:8" ht="15.75">
      <c r="A24" s="19"/>
      <c r="B24" s="131">
        <f>DATE(2017,8,1)</f>
        <v>42948</v>
      </c>
      <c r="C24" s="204">
        <v>2406702</v>
      </c>
      <c r="D24" s="204">
        <v>490413</v>
      </c>
      <c r="E24" s="204">
        <v>589363</v>
      </c>
      <c r="F24" s="132">
        <f t="shared" si="2"/>
        <v>-0.16789313207649614</v>
      </c>
      <c r="G24" s="215">
        <f t="shared" si="3"/>
        <v>0.2037697230483874</v>
      </c>
      <c r="H24" s="123"/>
    </row>
    <row r="25" spans="1:8" ht="15.75">
      <c r="A25" s="19"/>
      <c r="B25" s="131">
        <f>DATE(2017,9,1)</f>
        <v>42979</v>
      </c>
      <c r="C25" s="204">
        <v>2522640</v>
      </c>
      <c r="D25" s="204">
        <v>534707</v>
      </c>
      <c r="E25" s="204">
        <v>511288.5</v>
      </c>
      <c r="F25" s="132">
        <f t="shared" si="2"/>
        <v>0.045802907751690096</v>
      </c>
      <c r="G25" s="215">
        <f t="shared" si="3"/>
        <v>0.21196326071100116</v>
      </c>
      <c r="H25" s="123"/>
    </row>
    <row r="26" spans="1:8" ht="15.75">
      <c r="A26" s="19"/>
      <c r="B26" s="131">
        <f>DATE(2017,10,1)</f>
        <v>43009</v>
      </c>
      <c r="C26" s="204">
        <v>2455957</v>
      </c>
      <c r="D26" s="204">
        <v>515461.5</v>
      </c>
      <c r="E26" s="204">
        <v>462287</v>
      </c>
      <c r="F26" s="132">
        <f t="shared" si="2"/>
        <v>0.11502486550562746</v>
      </c>
      <c r="G26" s="215">
        <f t="shared" si="3"/>
        <v>0.2098821355585623</v>
      </c>
      <c r="H26" s="123"/>
    </row>
    <row r="27" spans="1:8" ht="15.75">
      <c r="A27" s="19"/>
      <c r="B27" s="131">
        <f>DATE(2017,11,1)</f>
        <v>43040</v>
      </c>
      <c r="C27" s="204">
        <v>2375566</v>
      </c>
      <c r="D27" s="204">
        <v>483129.5</v>
      </c>
      <c r="E27" s="204">
        <v>524259.5</v>
      </c>
      <c r="F27" s="132">
        <f t="shared" si="2"/>
        <v>-0.07845351395635176</v>
      </c>
      <c r="G27" s="215">
        <f t="shared" si="3"/>
        <v>0.2033744800186566</v>
      </c>
      <c r="H27" s="123"/>
    </row>
    <row r="28" spans="1:8" ht="15.75">
      <c r="A28" s="19"/>
      <c r="B28" s="131">
        <f>DATE(2017,12,1)</f>
        <v>43070</v>
      </c>
      <c r="C28" s="204">
        <v>2486449</v>
      </c>
      <c r="D28" s="204">
        <v>648728</v>
      </c>
      <c r="E28" s="204">
        <v>432721.5</v>
      </c>
      <c r="F28" s="132">
        <f t="shared" si="2"/>
        <v>0.49918134412087223</v>
      </c>
      <c r="G28" s="215">
        <f t="shared" si="3"/>
        <v>0.2609054116935437</v>
      </c>
      <c r="H28" s="123"/>
    </row>
    <row r="29" spans="1:8" ht="15.75">
      <c r="A29" s="19"/>
      <c r="B29" s="131">
        <f>DATE(2018,1,1)</f>
        <v>43101</v>
      </c>
      <c r="C29" s="204">
        <v>2176208</v>
      </c>
      <c r="D29" s="204">
        <v>641885</v>
      </c>
      <c r="E29" s="204">
        <v>489993</v>
      </c>
      <c r="F29" s="132">
        <f t="shared" si="2"/>
        <v>0.3099881018708431</v>
      </c>
      <c r="G29" s="215">
        <f t="shared" si="3"/>
        <v>0.2949557211443024</v>
      </c>
      <c r="H29" s="123"/>
    </row>
    <row r="30" spans="1:8" ht="15.75">
      <c r="A30" s="19"/>
      <c r="B30" s="131">
        <f>DATE(2018,2,1)</f>
        <v>43132</v>
      </c>
      <c r="C30" s="204">
        <v>2238897</v>
      </c>
      <c r="D30" s="204">
        <v>529004</v>
      </c>
      <c r="E30" s="204">
        <v>620150</v>
      </c>
      <c r="F30" s="132">
        <f t="shared" si="2"/>
        <v>-0.14697411916471823</v>
      </c>
      <c r="G30" s="215">
        <f t="shared" si="3"/>
        <v>0.2362788462354454</v>
      </c>
      <c r="H30" s="123"/>
    </row>
    <row r="31" spans="1:8" ht="15.75">
      <c r="A31" s="19"/>
      <c r="B31" s="131">
        <f>DATE(2018,3,1)</f>
        <v>43160</v>
      </c>
      <c r="C31" s="204">
        <v>2786500</v>
      </c>
      <c r="D31" s="204">
        <v>585525</v>
      </c>
      <c r="E31" s="204">
        <v>612292.5</v>
      </c>
      <c r="F31" s="132">
        <f t="shared" si="2"/>
        <v>-0.043716851014833594</v>
      </c>
      <c r="G31" s="215">
        <f t="shared" si="3"/>
        <v>0.21012919432980443</v>
      </c>
      <c r="H31" s="123"/>
    </row>
    <row r="32" spans="1:8" ht="15.75">
      <c r="A32" s="19"/>
      <c r="B32" s="131">
        <f>DATE(2018,4,1)</f>
        <v>43191</v>
      </c>
      <c r="C32" s="204">
        <v>2538741</v>
      </c>
      <c r="D32" s="204">
        <v>580383.5</v>
      </c>
      <c r="E32" s="204">
        <v>530620.5</v>
      </c>
      <c r="F32" s="132">
        <f t="shared" si="2"/>
        <v>0.0937826563429042</v>
      </c>
      <c r="G32" s="215">
        <f t="shared" si="3"/>
        <v>0.22861075627643782</v>
      </c>
      <c r="H32" s="123"/>
    </row>
    <row r="33" spans="1:8" ht="15.75">
      <c r="A33" s="19"/>
      <c r="B33" s="131">
        <f>DATE(2018,5,1)</f>
        <v>43221</v>
      </c>
      <c r="C33" s="204">
        <v>2592151</v>
      </c>
      <c r="D33" s="204">
        <v>612241.5</v>
      </c>
      <c r="E33" s="204">
        <v>354607.5</v>
      </c>
      <c r="F33" s="132">
        <f t="shared" si="2"/>
        <v>0.7265328567500687</v>
      </c>
      <c r="G33" s="215">
        <f t="shared" si="3"/>
        <v>0.23619052285148512</v>
      </c>
      <c r="H33" s="123"/>
    </row>
    <row r="34" spans="1:8" ht="15.75" thickBot="1">
      <c r="A34" s="133"/>
      <c r="B34" s="131"/>
      <c r="C34" s="204"/>
      <c r="D34" s="204"/>
      <c r="E34" s="204"/>
      <c r="F34" s="132"/>
      <c r="G34" s="215"/>
      <c r="H34" s="123"/>
    </row>
    <row r="35" spans="1:8" ht="17.25" thickBot="1" thickTop="1">
      <c r="A35" s="135" t="s">
        <v>14</v>
      </c>
      <c r="B35" s="136"/>
      <c r="C35" s="201">
        <f>SUM(C23:C34)</f>
        <v>27102193</v>
      </c>
      <c r="D35" s="201">
        <f>SUM(D23:D34)</f>
        <v>6263566</v>
      </c>
      <c r="E35" s="201">
        <f>SUM(E23:E34)</f>
        <v>5599669</v>
      </c>
      <c r="F35" s="137">
        <f>(+D35-E35)/E35</f>
        <v>0.11856004345971163</v>
      </c>
      <c r="G35" s="212">
        <f>D35/C35</f>
        <v>0.2311091947430232</v>
      </c>
      <c r="H35" s="123"/>
    </row>
    <row r="36" spans="1:8" ht="15.75" customHeight="1" thickTop="1">
      <c r="A36" s="255"/>
      <c r="B36" s="139"/>
      <c r="C36" s="205"/>
      <c r="D36" s="205"/>
      <c r="E36" s="205"/>
      <c r="F36" s="140"/>
      <c r="G36" s="219"/>
      <c r="H36" s="123"/>
    </row>
    <row r="37" spans="1:8" ht="15.75">
      <c r="A37" s="19" t="s">
        <v>56</v>
      </c>
      <c r="B37" s="131">
        <f>DATE(2017,7,1)</f>
        <v>42917</v>
      </c>
      <c r="C37" s="204">
        <v>1479706</v>
      </c>
      <c r="D37" s="204">
        <v>330815.5</v>
      </c>
      <c r="E37" s="204">
        <v>360412.5</v>
      </c>
      <c r="F37" s="132">
        <f aca="true" t="shared" si="4" ref="F37:F47">(+D37-E37)/E37</f>
        <v>-0.08211979329240801</v>
      </c>
      <c r="G37" s="215">
        <f aca="true" t="shared" si="5" ref="G37:G47">D37/C37</f>
        <v>0.223568398046639</v>
      </c>
      <c r="H37" s="123"/>
    </row>
    <row r="38" spans="1:8" ht="15.75">
      <c r="A38" s="19"/>
      <c r="B38" s="131">
        <f>DATE(2017,8,1)</f>
        <v>42948</v>
      </c>
      <c r="C38" s="204">
        <v>1531572</v>
      </c>
      <c r="D38" s="204">
        <v>326287.5</v>
      </c>
      <c r="E38" s="204">
        <v>239413.5</v>
      </c>
      <c r="F38" s="132">
        <f t="shared" si="4"/>
        <v>0.36286174338539806</v>
      </c>
      <c r="G38" s="215">
        <f t="shared" si="5"/>
        <v>0.21304091482476828</v>
      </c>
      <c r="H38" s="123"/>
    </row>
    <row r="39" spans="1:8" ht="15.75">
      <c r="A39" s="19"/>
      <c r="B39" s="131">
        <f>DATE(2017,9,1)</f>
        <v>42979</v>
      </c>
      <c r="C39" s="204">
        <v>1408112</v>
      </c>
      <c r="D39" s="204">
        <v>453438</v>
      </c>
      <c r="E39" s="204">
        <v>301041.5</v>
      </c>
      <c r="F39" s="132">
        <f t="shared" si="4"/>
        <v>0.5062308685015189</v>
      </c>
      <c r="G39" s="215">
        <f t="shared" si="5"/>
        <v>0.3220184189893986</v>
      </c>
      <c r="H39" s="123"/>
    </row>
    <row r="40" spans="1:8" ht="15.75">
      <c r="A40" s="19"/>
      <c r="B40" s="131">
        <f>DATE(2017,10,1)</f>
        <v>43009</v>
      </c>
      <c r="C40" s="204">
        <v>1260391</v>
      </c>
      <c r="D40" s="204">
        <v>325504</v>
      </c>
      <c r="E40" s="204">
        <v>288579</v>
      </c>
      <c r="F40" s="132">
        <f t="shared" si="4"/>
        <v>0.1279545635683816</v>
      </c>
      <c r="G40" s="215">
        <f t="shared" si="5"/>
        <v>0.25825636647675204</v>
      </c>
      <c r="H40" s="123"/>
    </row>
    <row r="41" spans="1:8" ht="15.75">
      <c r="A41" s="19"/>
      <c r="B41" s="131">
        <f>DATE(2017,11,1)</f>
        <v>43040</v>
      </c>
      <c r="C41" s="204">
        <v>1296139</v>
      </c>
      <c r="D41" s="204">
        <v>300283</v>
      </c>
      <c r="E41" s="204">
        <v>327940.5</v>
      </c>
      <c r="F41" s="132">
        <f t="shared" si="4"/>
        <v>-0.08433694526903508</v>
      </c>
      <c r="G41" s="215">
        <f t="shared" si="5"/>
        <v>0.2316749978204498</v>
      </c>
      <c r="H41" s="123"/>
    </row>
    <row r="42" spans="1:8" ht="15.75">
      <c r="A42" s="19"/>
      <c r="B42" s="131">
        <f>DATE(2017,12,1)</f>
        <v>43070</v>
      </c>
      <c r="C42" s="204">
        <v>1478408</v>
      </c>
      <c r="D42" s="204">
        <v>366330</v>
      </c>
      <c r="E42" s="204">
        <v>333530</v>
      </c>
      <c r="F42" s="132">
        <f t="shared" si="4"/>
        <v>0.09834197823284262</v>
      </c>
      <c r="G42" s="215">
        <f t="shared" si="5"/>
        <v>0.24778680851294094</v>
      </c>
      <c r="H42" s="123"/>
    </row>
    <row r="43" spans="1:8" ht="15.75">
      <c r="A43" s="19"/>
      <c r="B43" s="131">
        <f>DATE(2018,1,1)</f>
        <v>43101</v>
      </c>
      <c r="C43" s="204">
        <v>1342464</v>
      </c>
      <c r="D43" s="204">
        <v>337127.5</v>
      </c>
      <c r="E43" s="204">
        <v>283836</v>
      </c>
      <c r="F43" s="132">
        <f t="shared" si="4"/>
        <v>0.1877545484011894</v>
      </c>
      <c r="G43" s="215">
        <f t="shared" si="5"/>
        <v>0.25112591473588863</v>
      </c>
      <c r="H43" s="123"/>
    </row>
    <row r="44" spans="1:8" ht="15.75">
      <c r="A44" s="19"/>
      <c r="B44" s="131">
        <f>DATE(2018,2,1)</f>
        <v>43132</v>
      </c>
      <c r="C44" s="204">
        <v>1397331</v>
      </c>
      <c r="D44" s="204">
        <v>389142.5</v>
      </c>
      <c r="E44" s="204">
        <v>329434.5</v>
      </c>
      <c r="F44" s="132">
        <f t="shared" si="4"/>
        <v>0.1812439195044842</v>
      </c>
      <c r="G44" s="215">
        <f t="shared" si="5"/>
        <v>0.278489849577516</v>
      </c>
      <c r="H44" s="123"/>
    </row>
    <row r="45" spans="1:8" ht="15.75">
      <c r="A45" s="19"/>
      <c r="B45" s="131">
        <f>DATE(2018,3,1)</f>
        <v>43160</v>
      </c>
      <c r="C45" s="204">
        <v>1787070</v>
      </c>
      <c r="D45" s="204">
        <v>428782</v>
      </c>
      <c r="E45" s="204">
        <v>488182</v>
      </c>
      <c r="F45" s="132">
        <f t="shared" si="4"/>
        <v>-0.1216759323367105</v>
      </c>
      <c r="G45" s="215">
        <f t="shared" si="5"/>
        <v>0.23993576077042308</v>
      </c>
      <c r="H45" s="123"/>
    </row>
    <row r="46" spans="1:8" ht="15.75">
      <c r="A46" s="19"/>
      <c r="B46" s="131">
        <f>DATE(2018,4,1)</f>
        <v>43191</v>
      </c>
      <c r="C46" s="204">
        <v>1392637</v>
      </c>
      <c r="D46" s="204">
        <v>388710.5</v>
      </c>
      <c r="E46" s="204">
        <v>263398</v>
      </c>
      <c r="F46" s="132">
        <f t="shared" si="4"/>
        <v>0.4757534225772405</v>
      </c>
      <c r="G46" s="215">
        <f t="shared" si="5"/>
        <v>0.2791183201365467</v>
      </c>
      <c r="H46" s="123"/>
    </row>
    <row r="47" spans="1:8" ht="15.75">
      <c r="A47" s="19"/>
      <c r="B47" s="131">
        <f>DATE(2018,5,1)</f>
        <v>43221</v>
      </c>
      <c r="C47" s="204">
        <v>1323742</v>
      </c>
      <c r="D47" s="204">
        <v>417938</v>
      </c>
      <c r="E47" s="204">
        <v>272655</v>
      </c>
      <c r="F47" s="132">
        <f t="shared" si="4"/>
        <v>0.5328455374007446</v>
      </c>
      <c r="G47" s="215">
        <f t="shared" si="5"/>
        <v>0.315724665380414</v>
      </c>
      <c r="H47" s="123"/>
    </row>
    <row r="48" spans="1:8" ht="15.75" thickBot="1">
      <c r="A48" s="133"/>
      <c r="B48" s="131"/>
      <c r="C48" s="204"/>
      <c r="D48" s="204"/>
      <c r="E48" s="204"/>
      <c r="F48" s="132"/>
      <c r="G48" s="215"/>
      <c r="H48" s="123"/>
    </row>
    <row r="49" spans="1:8" ht="17.25" thickBot="1" thickTop="1">
      <c r="A49" s="141" t="s">
        <v>14</v>
      </c>
      <c r="B49" s="142"/>
      <c r="C49" s="206">
        <f>SUM(C37:C48)</f>
        <v>15697572</v>
      </c>
      <c r="D49" s="206">
        <f>SUM(D37:D48)</f>
        <v>4064358.5</v>
      </c>
      <c r="E49" s="206">
        <f>SUM(E37:E48)</f>
        <v>3488422.5</v>
      </c>
      <c r="F49" s="143">
        <f>(+D49-E49)/E49</f>
        <v>0.1650992676489158</v>
      </c>
      <c r="G49" s="217">
        <f>D49/C49</f>
        <v>0.2589163789151596</v>
      </c>
      <c r="H49" s="123"/>
    </row>
    <row r="50" spans="1:8" ht="15.75" thickTop="1">
      <c r="A50" s="133"/>
      <c r="B50" s="134"/>
      <c r="C50" s="204"/>
      <c r="D50" s="204"/>
      <c r="E50" s="204"/>
      <c r="F50" s="132"/>
      <c r="G50" s="218"/>
      <c r="H50" s="123"/>
    </row>
    <row r="51" spans="1:8" ht="15.75">
      <c r="A51" s="177" t="s">
        <v>65</v>
      </c>
      <c r="B51" s="131">
        <f>DATE(2017,7,1)</f>
        <v>42917</v>
      </c>
      <c r="C51" s="204">
        <v>15842458</v>
      </c>
      <c r="D51" s="204">
        <v>3444933.46</v>
      </c>
      <c r="E51" s="204">
        <v>3130542.12</v>
      </c>
      <c r="F51" s="132">
        <f aca="true" t="shared" si="6" ref="F51:F61">(+D51-E51)/E51</f>
        <v>0.10042712346575929</v>
      </c>
      <c r="G51" s="215">
        <f aca="true" t="shared" si="7" ref="G51:G61">D51/C51</f>
        <v>0.21744942988013602</v>
      </c>
      <c r="H51" s="123"/>
    </row>
    <row r="52" spans="1:8" ht="15.75">
      <c r="A52" s="177"/>
      <c r="B52" s="131">
        <f>DATE(2017,8,1)</f>
        <v>42948</v>
      </c>
      <c r="C52" s="204">
        <v>13052978</v>
      </c>
      <c r="D52" s="204">
        <v>2738890.99</v>
      </c>
      <c r="E52" s="204">
        <v>3206208.5</v>
      </c>
      <c r="F52" s="132">
        <f t="shared" si="6"/>
        <v>-0.14575393646420678</v>
      </c>
      <c r="G52" s="215">
        <f t="shared" si="7"/>
        <v>0.20982882143829557</v>
      </c>
      <c r="H52" s="123"/>
    </row>
    <row r="53" spans="1:8" ht="15.75">
      <c r="A53" s="177"/>
      <c r="B53" s="131">
        <f>DATE(2017,9,1)</f>
        <v>42979</v>
      </c>
      <c r="C53" s="204">
        <v>13344756</v>
      </c>
      <c r="D53" s="204">
        <v>3077099.69</v>
      </c>
      <c r="E53" s="204">
        <v>2415045.66</v>
      </c>
      <c r="F53" s="132">
        <f t="shared" si="6"/>
        <v>0.27413727241910607</v>
      </c>
      <c r="G53" s="215">
        <f t="shared" si="7"/>
        <v>0.2305849346364969</v>
      </c>
      <c r="H53" s="123"/>
    </row>
    <row r="54" spans="1:8" ht="15.75">
      <c r="A54" s="177"/>
      <c r="B54" s="131">
        <f>DATE(2017,10,1)</f>
        <v>43009</v>
      </c>
      <c r="C54" s="204">
        <v>13971709.25</v>
      </c>
      <c r="D54" s="204">
        <v>2596719.93</v>
      </c>
      <c r="E54" s="204">
        <v>3125907.93</v>
      </c>
      <c r="F54" s="132">
        <f t="shared" si="6"/>
        <v>-0.16929097460653614</v>
      </c>
      <c r="G54" s="215">
        <f t="shared" si="7"/>
        <v>0.18585556595375044</v>
      </c>
      <c r="H54" s="123"/>
    </row>
    <row r="55" spans="1:8" ht="15.75">
      <c r="A55" s="177"/>
      <c r="B55" s="131">
        <f>DATE(2017,11,1)</f>
        <v>43040</v>
      </c>
      <c r="C55" s="204">
        <v>14387146.5</v>
      </c>
      <c r="D55" s="204">
        <v>2954256.04</v>
      </c>
      <c r="E55" s="204">
        <v>2966258.88</v>
      </c>
      <c r="F55" s="132">
        <f t="shared" si="6"/>
        <v>-0.004046457334162233</v>
      </c>
      <c r="G55" s="215">
        <f t="shared" si="7"/>
        <v>0.20533995674541855</v>
      </c>
      <c r="H55" s="123"/>
    </row>
    <row r="56" spans="1:8" ht="15.75">
      <c r="A56" s="177"/>
      <c r="B56" s="131">
        <f>DATE(2017,12,1)</f>
        <v>43070</v>
      </c>
      <c r="C56" s="204">
        <v>15084785</v>
      </c>
      <c r="D56" s="204">
        <v>3254600.78</v>
      </c>
      <c r="E56" s="204">
        <v>2610049.5</v>
      </c>
      <c r="F56" s="132">
        <f t="shared" si="6"/>
        <v>0.24694982987870528</v>
      </c>
      <c r="G56" s="215">
        <f t="shared" si="7"/>
        <v>0.21575387252784842</v>
      </c>
      <c r="H56" s="123"/>
    </row>
    <row r="57" spans="1:8" ht="15.75">
      <c r="A57" s="177"/>
      <c r="B57" s="131">
        <f>DATE(2018,1,1)</f>
        <v>43101</v>
      </c>
      <c r="C57" s="204">
        <v>14565484</v>
      </c>
      <c r="D57" s="204">
        <v>3015386.15</v>
      </c>
      <c r="E57" s="204">
        <v>2753749.09</v>
      </c>
      <c r="F57" s="132">
        <f t="shared" si="6"/>
        <v>0.09501121977674447</v>
      </c>
      <c r="G57" s="215">
        <f t="shared" si="7"/>
        <v>0.2070227223482584</v>
      </c>
      <c r="H57" s="123"/>
    </row>
    <row r="58" spans="1:8" ht="15.75">
      <c r="A58" s="177"/>
      <c r="B58" s="131">
        <f>DATE(2018,2,1)</f>
        <v>43132</v>
      </c>
      <c r="C58" s="204">
        <v>15128544.02</v>
      </c>
      <c r="D58" s="204">
        <v>2470968.89</v>
      </c>
      <c r="E58" s="204">
        <v>2722791.24</v>
      </c>
      <c r="F58" s="132">
        <f t="shared" si="6"/>
        <v>-0.0924868371473092</v>
      </c>
      <c r="G58" s="215">
        <f t="shared" si="7"/>
        <v>0.16333157286870228</v>
      </c>
      <c r="H58" s="123"/>
    </row>
    <row r="59" spans="1:8" ht="15.75">
      <c r="A59" s="177"/>
      <c r="B59" s="131">
        <f>DATE(2018,3,1)</f>
        <v>43160</v>
      </c>
      <c r="C59" s="204">
        <v>17292295.03</v>
      </c>
      <c r="D59" s="204">
        <v>3071035.69</v>
      </c>
      <c r="E59" s="204">
        <v>3530371.28</v>
      </c>
      <c r="F59" s="132">
        <f t="shared" si="6"/>
        <v>-0.13010971186010778</v>
      </c>
      <c r="G59" s="215">
        <f t="shared" si="7"/>
        <v>0.17759561033813798</v>
      </c>
      <c r="H59" s="123"/>
    </row>
    <row r="60" spans="1:8" ht="15.75">
      <c r="A60" s="177"/>
      <c r="B60" s="131">
        <f>DATE(2018,4,1)</f>
        <v>43191</v>
      </c>
      <c r="C60" s="204">
        <v>14679452</v>
      </c>
      <c r="D60" s="204">
        <v>3305837.5</v>
      </c>
      <c r="E60" s="204">
        <v>2695177.46</v>
      </c>
      <c r="F60" s="132">
        <f t="shared" si="6"/>
        <v>0.22657507680403355</v>
      </c>
      <c r="G60" s="215">
        <f t="shared" si="7"/>
        <v>0.22520169690258193</v>
      </c>
      <c r="H60" s="123"/>
    </row>
    <row r="61" spans="1:8" ht="15.75">
      <c r="A61" s="177"/>
      <c r="B61" s="131">
        <f>DATE(2018,5,1)</f>
        <v>43221</v>
      </c>
      <c r="C61" s="204">
        <v>14493195</v>
      </c>
      <c r="D61" s="204">
        <v>2696146.85</v>
      </c>
      <c r="E61" s="204">
        <v>3183098.08</v>
      </c>
      <c r="F61" s="132">
        <f t="shared" si="6"/>
        <v>-0.1529802782577155</v>
      </c>
      <c r="G61" s="215">
        <f t="shared" si="7"/>
        <v>0.18602846715303287</v>
      </c>
      <c r="H61" s="123"/>
    </row>
    <row r="62" spans="1:8" ht="15.75" customHeight="1" thickBot="1">
      <c r="A62" s="133"/>
      <c r="B62" s="134"/>
      <c r="C62" s="204"/>
      <c r="D62" s="204"/>
      <c r="E62" s="204"/>
      <c r="F62" s="132"/>
      <c r="G62" s="215"/>
      <c r="H62" s="123"/>
    </row>
    <row r="63" spans="1:8" ht="17.25" customHeight="1" thickBot="1" thickTop="1">
      <c r="A63" s="141" t="s">
        <v>14</v>
      </c>
      <c r="B63" s="142"/>
      <c r="C63" s="206">
        <f>SUM(C51:C62)</f>
        <v>161842802.8</v>
      </c>
      <c r="D63" s="206">
        <f>SUM(D51:D62)</f>
        <v>32625875.970000003</v>
      </c>
      <c r="E63" s="206">
        <f>SUM(E51:E62)</f>
        <v>32339199.740000002</v>
      </c>
      <c r="F63" s="143">
        <f>(+D63-E63)/E63</f>
        <v>0.008864666791535159</v>
      </c>
      <c r="G63" s="217">
        <f>D63/C63</f>
        <v>0.20158990950198744</v>
      </c>
      <c r="H63" s="123"/>
    </row>
    <row r="64" spans="1:8" ht="15.75" customHeight="1" thickTop="1">
      <c r="A64" s="133"/>
      <c r="B64" s="134"/>
      <c r="C64" s="204"/>
      <c r="D64" s="204"/>
      <c r="E64" s="204"/>
      <c r="F64" s="132"/>
      <c r="G64" s="218"/>
      <c r="H64" s="123"/>
    </row>
    <row r="65" spans="1:8" ht="15" customHeight="1">
      <c r="A65" s="130" t="s">
        <v>39</v>
      </c>
      <c r="B65" s="131">
        <f>DATE(2017,7,1)</f>
        <v>42917</v>
      </c>
      <c r="C65" s="204">
        <v>17878666</v>
      </c>
      <c r="D65" s="204">
        <v>4591352</v>
      </c>
      <c r="E65" s="204">
        <v>2718467</v>
      </c>
      <c r="F65" s="132">
        <f aca="true" t="shared" si="8" ref="F65:F75">(+D65-E65)/E65</f>
        <v>0.6889489554223024</v>
      </c>
      <c r="G65" s="215">
        <f aca="true" t="shared" si="9" ref="G65:G75">D65/C65</f>
        <v>0.25680618453300713</v>
      </c>
      <c r="H65" s="123"/>
    </row>
    <row r="66" spans="1:8" ht="15" customHeight="1">
      <c r="A66" s="130"/>
      <c r="B66" s="131">
        <f>DATE(2017,8,1)</f>
        <v>42948</v>
      </c>
      <c r="C66" s="204">
        <v>16620305</v>
      </c>
      <c r="D66" s="204">
        <v>3842200.5</v>
      </c>
      <c r="E66" s="204">
        <v>3097592</v>
      </c>
      <c r="F66" s="132">
        <f t="shared" si="8"/>
        <v>0.2403830136441468</v>
      </c>
      <c r="G66" s="215">
        <f t="shared" si="9"/>
        <v>0.23117508974714965</v>
      </c>
      <c r="H66" s="123"/>
    </row>
    <row r="67" spans="1:8" ht="15" customHeight="1">
      <c r="A67" s="130"/>
      <c r="B67" s="131">
        <f>DATE(2017,9,1)</f>
        <v>42979</v>
      </c>
      <c r="C67" s="204">
        <v>17068391</v>
      </c>
      <c r="D67" s="204">
        <v>3686124</v>
      </c>
      <c r="E67" s="204">
        <v>3708385.5</v>
      </c>
      <c r="F67" s="132">
        <f t="shared" si="8"/>
        <v>-0.006003016676664279</v>
      </c>
      <c r="G67" s="215">
        <f t="shared" si="9"/>
        <v>0.2159620083697403</v>
      </c>
      <c r="H67" s="123"/>
    </row>
    <row r="68" spans="1:8" ht="15" customHeight="1">
      <c r="A68" s="130"/>
      <c r="B68" s="131">
        <f>DATE(2017,10,1)</f>
        <v>43009</v>
      </c>
      <c r="C68" s="204">
        <v>18396365</v>
      </c>
      <c r="D68" s="204">
        <v>2992221.5</v>
      </c>
      <c r="E68" s="204">
        <v>3396436</v>
      </c>
      <c r="F68" s="132">
        <f t="shared" si="8"/>
        <v>-0.11901136956503817</v>
      </c>
      <c r="G68" s="215">
        <f t="shared" si="9"/>
        <v>0.162652866476611</v>
      </c>
      <c r="H68" s="123"/>
    </row>
    <row r="69" spans="1:8" ht="15" customHeight="1">
      <c r="A69" s="130"/>
      <c r="B69" s="131">
        <f>DATE(2017,11,1)</f>
        <v>43040</v>
      </c>
      <c r="C69" s="204">
        <v>16278178</v>
      </c>
      <c r="D69" s="204">
        <v>3676452</v>
      </c>
      <c r="E69" s="204">
        <v>3220250.5</v>
      </c>
      <c r="F69" s="132">
        <f t="shared" si="8"/>
        <v>0.14166646352512016</v>
      </c>
      <c r="G69" s="215">
        <f t="shared" si="9"/>
        <v>0.22585156643452356</v>
      </c>
      <c r="H69" s="123"/>
    </row>
    <row r="70" spans="1:8" ht="15" customHeight="1">
      <c r="A70" s="130"/>
      <c r="B70" s="131">
        <f>DATE(2017,12,1)</f>
        <v>43070</v>
      </c>
      <c r="C70" s="204">
        <v>16423739</v>
      </c>
      <c r="D70" s="204">
        <v>3464937</v>
      </c>
      <c r="E70" s="204">
        <v>3576057.01</v>
      </c>
      <c r="F70" s="132">
        <f t="shared" si="8"/>
        <v>-0.03107333291646818</v>
      </c>
      <c r="G70" s="215">
        <f t="shared" si="9"/>
        <v>0.21097126543474662</v>
      </c>
      <c r="H70" s="123"/>
    </row>
    <row r="71" spans="1:8" ht="15" customHeight="1">
      <c r="A71" s="130"/>
      <c r="B71" s="131">
        <f>DATE(2018,1,1)</f>
        <v>43101</v>
      </c>
      <c r="C71" s="204">
        <v>15307865</v>
      </c>
      <c r="D71" s="204">
        <v>2865998</v>
      </c>
      <c r="E71" s="204">
        <v>2690525.5</v>
      </c>
      <c r="F71" s="132">
        <f t="shared" si="8"/>
        <v>0.06521867196575538</v>
      </c>
      <c r="G71" s="215">
        <f t="shared" si="9"/>
        <v>0.18722388785111443</v>
      </c>
      <c r="H71" s="123"/>
    </row>
    <row r="72" spans="1:8" ht="15" customHeight="1">
      <c r="A72" s="130"/>
      <c r="B72" s="131">
        <f>DATE(2018,2,1)</f>
        <v>43132</v>
      </c>
      <c r="C72" s="204">
        <v>13583101</v>
      </c>
      <c r="D72" s="204">
        <v>2919393.5</v>
      </c>
      <c r="E72" s="204">
        <v>3822740</v>
      </c>
      <c r="F72" s="132">
        <f t="shared" si="8"/>
        <v>-0.2363086424920345</v>
      </c>
      <c r="G72" s="215">
        <f t="shared" si="9"/>
        <v>0.2149283510444338</v>
      </c>
      <c r="H72" s="123"/>
    </row>
    <row r="73" spans="1:8" ht="15" customHeight="1">
      <c r="A73" s="130"/>
      <c r="B73" s="131">
        <f>DATE(2018,3,1)</f>
        <v>43160</v>
      </c>
      <c r="C73" s="204">
        <v>16628329</v>
      </c>
      <c r="D73" s="204">
        <v>3678003</v>
      </c>
      <c r="E73" s="204">
        <v>4053648.5</v>
      </c>
      <c r="F73" s="132">
        <f t="shared" si="8"/>
        <v>-0.09266849358053615</v>
      </c>
      <c r="G73" s="215">
        <f t="shared" si="9"/>
        <v>0.22118897214506641</v>
      </c>
      <c r="H73" s="123"/>
    </row>
    <row r="74" spans="1:8" ht="15" customHeight="1">
      <c r="A74" s="130"/>
      <c r="B74" s="131">
        <f>DATE(2018,4,1)</f>
        <v>43191</v>
      </c>
      <c r="C74" s="204">
        <v>15800241</v>
      </c>
      <c r="D74" s="204">
        <v>2764338</v>
      </c>
      <c r="E74" s="204">
        <v>3411948.5</v>
      </c>
      <c r="F74" s="132">
        <f t="shared" si="8"/>
        <v>-0.18980664567475153</v>
      </c>
      <c r="G74" s="215">
        <f t="shared" si="9"/>
        <v>0.17495543264181856</v>
      </c>
      <c r="H74" s="123"/>
    </row>
    <row r="75" spans="1:8" ht="15" customHeight="1">
      <c r="A75" s="130"/>
      <c r="B75" s="131">
        <f>DATE(2018,5,1)</f>
        <v>43221</v>
      </c>
      <c r="C75" s="204">
        <v>16335354</v>
      </c>
      <c r="D75" s="204">
        <v>2888640</v>
      </c>
      <c r="E75" s="204">
        <v>2470270</v>
      </c>
      <c r="F75" s="132">
        <f t="shared" si="8"/>
        <v>0.16936205354070608</v>
      </c>
      <c r="G75" s="215">
        <f t="shared" si="9"/>
        <v>0.17683363335744057</v>
      </c>
      <c r="H75" s="123"/>
    </row>
    <row r="76" spans="1:8" ht="15.75" thickBot="1">
      <c r="A76" s="133"/>
      <c r="B76" s="131"/>
      <c r="C76" s="204"/>
      <c r="D76" s="204"/>
      <c r="E76" s="204"/>
      <c r="F76" s="132"/>
      <c r="G76" s="215"/>
      <c r="H76" s="123"/>
    </row>
    <row r="77" spans="1:8" ht="17.25" customHeight="1" thickBot="1" thickTop="1">
      <c r="A77" s="141" t="s">
        <v>14</v>
      </c>
      <c r="B77" s="142"/>
      <c r="C77" s="207">
        <f>SUM(C65:C76)</f>
        <v>180320534</v>
      </c>
      <c r="D77" s="261">
        <f>SUM(D65:D76)</f>
        <v>37369659.5</v>
      </c>
      <c r="E77" s="206">
        <f>SUM(E65:E76)</f>
        <v>36166320.51</v>
      </c>
      <c r="F77" s="268">
        <f>(+D77-E77)/E77</f>
        <v>0.03327236426130987</v>
      </c>
      <c r="G77" s="267">
        <f>D77/C77</f>
        <v>0.20724017764942954</v>
      </c>
      <c r="H77" s="123"/>
    </row>
    <row r="78" spans="1:8" ht="15.75" customHeight="1" thickTop="1">
      <c r="A78" s="130"/>
      <c r="B78" s="134"/>
      <c r="C78" s="204"/>
      <c r="D78" s="204"/>
      <c r="E78" s="204"/>
      <c r="F78" s="132"/>
      <c r="G78" s="218"/>
      <c r="H78" s="123"/>
    </row>
    <row r="79" spans="1:8" ht="15.75">
      <c r="A79" s="130" t="s">
        <v>66</v>
      </c>
      <c r="B79" s="131">
        <f>DATE(2017,7,1)</f>
        <v>42917</v>
      </c>
      <c r="C79" s="204">
        <v>2593382</v>
      </c>
      <c r="D79" s="204">
        <v>703792.5</v>
      </c>
      <c r="E79" s="204">
        <v>754116</v>
      </c>
      <c r="F79" s="132">
        <f aca="true" t="shared" si="10" ref="F79:F89">(+D79-E79)/E79</f>
        <v>-0.06673177601323935</v>
      </c>
      <c r="G79" s="215">
        <f aca="true" t="shared" si="11" ref="G79:G89">D79/C79</f>
        <v>0.27138019003756486</v>
      </c>
      <c r="H79" s="123"/>
    </row>
    <row r="80" spans="1:8" ht="15.75">
      <c r="A80" s="130"/>
      <c r="B80" s="131">
        <f>DATE(2017,8,1)</f>
        <v>42948</v>
      </c>
      <c r="C80" s="204">
        <v>2465059</v>
      </c>
      <c r="D80" s="204">
        <v>551376.5</v>
      </c>
      <c r="E80" s="204">
        <v>722738.5</v>
      </c>
      <c r="F80" s="132">
        <f t="shared" si="10"/>
        <v>-0.23710097082139667</v>
      </c>
      <c r="G80" s="215">
        <f t="shared" si="11"/>
        <v>0.22367679637688184</v>
      </c>
      <c r="H80" s="123"/>
    </row>
    <row r="81" spans="1:8" ht="15.75">
      <c r="A81" s="130"/>
      <c r="B81" s="131">
        <f>DATE(2017,9,1)</f>
        <v>42979</v>
      </c>
      <c r="C81" s="204">
        <v>2623530</v>
      </c>
      <c r="D81" s="204">
        <v>737458.5</v>
      </c>
      <c r="E81" s="204">
        <v>677597</v>
      </c>
      <c r="F81" s="132">
        <f t="shared" si="10"/>
        <v>0.08834380907825742</v>
      </c>
      <c r="G81" s="215">
        <f t="shared" si="11"/>
        <v>0.2810939840596448</v>
      </c>
      <c r="H81" s="123"/>
    </row>
    <row r="82" spans="1:8" ht="15.75">
      <c r="A82" s="130"/>
      <c r="B82" s="131">
        <f>DATE(2017,10,1)</f>
        <v>43009</v>
      </c>
      <c r="C82" s="204">
        <v>2440666</v>
      </c>
      <c r="D82" s="204">
        <v>599085</v>
      </c>
      <c r="E82" s="204">
        <v>567558.5</v>
      </c>
      <c r="F82" s="132">
        <f t="shared" si="10"/>
        <v>0.05554757791487574</v>
      </c>
      <c r="G82" s="215">
        <f t="shared" si="11"/>
        <v>0.2454596409340729</v>
      </c>
      <c r="H82" s="123"/>
    </row>
    <row r="83" spans="1:8" ht="15.75">
      <c r="A83" s="130"/>
      <c r="B83" s="131">
        <f>DATE(2017,11,1)</f>
        <v>43040</v>
      </c>
      <c r="C83" s="204">
        <v>2540148</v>
      </c>
      <c r="D83" s="204">
        <v>713068.5</v>
      </c>
      <c r="E83" s="204">
        <v>629102</v>
      </c>
      <c r="F83" s="132">
        <f t="shared" si="10"/>
        <v>0.13347040702461604</v>
      </c>
      <c r="G83" s="215">
        <f t="shared" si="11"/>
        <v>0.2807192730502317</v>
      </c>
      <c r="H83" s="123"/>
    </row>
    <row r="84" spans="1:8" ht="15.75">
      <c r="A84" s="130"/>
      <c r="B84" s="131">
        <f>DATE(2017,12,1)</f>
        <v>43070</v>
      </c>
      <c r="C84" s="204">
        <v>2896793</v>
      </c>
      <c r="D84" s="204">
        <v>726564.5</v>
      </c>
      <c r="E84" s="204">
        <v>629349.5</v>
      </c>
      <c r="F84" s="132">
        <f t="shared" si="10"/>
        <v>0.1544690192015724</v>
      </c>
      <c r="G84" s="215">
        <f t="shared" si="11"/>
        <v>0.25081685160106365</v>
      </c>
      <c r="H84" s="123"/>
    </row>
    <row r="85" spans="1:8" ht="15.75">
      <c r="A85" s="130"/>
      <c r="B85" s="131">
        <f>DATE(2018,1,1)</f>
        <v>43101</v>
      </c>
      <c r="C85" s="204">
        <v>2551275</v>
      </c>
      <c r="D85" s="204">
        <v>498012.5</v>
      </c>
      <c r="E85" s="204">
        <v>710461.5</v>
      </c>
      <c r="F85" s="132">
        <f t="shared" si="10"/>
        <v>-0.29902957443858674</v>
      </c>
      <c r="G85" s="215">
        <f t="shared" si="11"/>
        <v>0.19520141889839393</v>
      </c>
      <c r="H85" s="123"/>
    </row>
    <row r="86" spans="1:8" ht="15.75">
      <c r="A86" s="130"/>
      <c r="B86" s="131">
        <f>DATE(2018,2,1)</f>
        <v>43132</v>
      </c>
      <c r="C86" s="204">
        <v>2698155</v>
      </c>
      <c r="D86" s="204">
        <v>615710.5</v>
      </c>
      <c r="E86" s="204">
        <v>760458.5</v>
      </c>
      <c r="F86" s="132">
        <f t="shared" si="10"/>
        <v>-0.19034306277068375</v>
      </c>
      <c r="G86" s="215">
        <f t="shared" si="11"/>
        <v>0.22819686044723153</v>
      </c>
      <c r="H86" s="123"/>
    </row>
    <row r="87" spans="1:8" ht="15.75">
      <c r="A87" s="130"/>
      <c r="B87" s="131">
        <f>DATE(2018,3,1)</f>
        <v>43160</v>
      </c>
      <c r="C87" s="204">
        <v>3209538</v>
      </c>
      <c r="D87" s="204">
        <v>707304</v>
      </c>
      <c r="E87" s="204">
        <v>716633</v>
      </c>
      <c r="F87" s="132">
        <f t="shared" si="10"/>
        <v>-0.013017820837164908</v>
      </c>
      <c r="G87" s="215">
        <f t="shared" si="11"/>
        <v>0.22037564284953162</v>
      </c>
      <c r="H87" s="123"/>
    </row>
    <row r="88" spans="1:8" ht="15.75">
      <c r="A88" s="130"/>
      <c r="B88" s="131">
        <f>DATE(2018,4,1)</f>
        <v>43191</v>
      </c>
      <c r="C88" s="204">
        <v>2670255</v>
      </c>
      <c r="D88" s="204">
        <v>580306.5</v>
      </c>
      <c r="E88" s="204">
        <v>721904.91</v>
      </c>
      <c r="F88" s="132">
        <f t="shared" si="10"/>
        <v>-0.19614551451104553</v>
      </c>
      <c r="G88" s="215">
        <f t="shared" si="11"/>
        <v>0.21732250290702573</v>
      </c>
      <c r="H88" s="123"/>
    </row>
    <row r="89" spans="1:8" ht="15.75">
      <c r="A89" s="130"/>
      <c r="B89" s="131">
        <f>DATE(2018,5,1)</f>
        <v>43221</v>
      </c>
      <c r="C89" s="204">
        <v>2502995</v>
      </c>
      <c r="D89" s="204">
        <v>600608</v>
      </c>
      <c r="E89" s="204">
        <v>685811.5</v>
      </c>
      <c r="F89" s="132">
        <f t="shared" si="10"/>
        <v>-0.12423749091404854</v>
      </c>
      <c r="G89" s="215">
        <f t="shared" si="11"/>
        <v>0.23995573303182788</v>
      </c>
      <c r="H89" s="123"/>
    </row>
    <row r="90" spans="1:8" ht="15.75" customHeight="1" thickBot="1">
      <c r="A90" s="130"/>
      <c r="B90" s="131"/>
      <c r="C90" s="204"/>
      <c r="D90" s="204"/>
      <c r="E90" s="204"/>
      <c r="F90" s="132"/>
      <c r="G90" s="215"/>
      <c r="H90" s="123"/>
    </row>
    <row r="91" spans="1:8" ht="17.25" thickBot="1" thickTop="1">
      <c r="A91" s="141" t="s">
        <v>14</v>
      </c>
      <c r="B91" s="142"/>
      <c r="C91" s="207">
        <f>SUM(C79:C90)</f>
        <v>29191796</v>
      </c>
      <c r="D91" s="261">
        <f>SUM(D79:D90)</f>
        <v>7033287</v>
      </c>
      <c r="E91" s="207">
        <f>SUM(E79:E90)</f>
        <v>7575730.91</v>
      </c>
      <c r="F91" s="268">
        <f>(+D91-E91)/E91</f>
        <v>-0.07160284815343318</v>
      </c>
      <c r="G91" s="267">
        <f>D91/C91</f>
        <v>0.2409336856149584</v>
      </c>
      <c r="H91" s="123"/>
    </row>
    <row r="92" spans="1:8" ht="15.75" customHeight="1" thickTop="1">
      <c r="A92" s="130"/>
      <c r="B92" s="134"/>
      <c r="C92" s="204"/>
      <c r="D92" s="204"/>
      <c r="E92" s="204"/>
      <c r="F92" s="132"/>
      <c r="G92" s="218"/>
      <c r="H92" s="123"/>
    </row>
    <row r="93" spans="1:8" ht="15.75">
      <c r="A93" s="130" t="s">
        <v>17</v>
      </c>
      <c r="B93" s="131">
        <f>DATE(2017,7,1)</f>
        <v>42917</v>
      </c>
      <c r="C93" s="204">
        <v>1774615.5</v>
      </c>
      <c r="D93" s="204">
        <v>362602</v>
      </c>
      <c r="E93" s="204">
        <v>441103</v>
      </c>
      <c r="F93" s="132">
        <f aca="true" t="shared" si="12" ref="F93:F103">(+D93-E93)/E93</f>
        <v>-0.17796523714415907</v>
      </c>
      <c r="G93" s="215">
        <f aca="true" t="shared" si="13" ref="G93:G103">D93/C93</f>
        <v>0.20432707817552592</v>
      </c>
      <c r="H93" s="123"/>
    </row>
    <row r="94" spans="1:8" ht="15.75">
      <c r="A94" s="130"/>
      <c r="B94" s="131">
        <f>DATE(2017,8,1)</f>
        <v>42948</v>
      </c>
      <c r="C94" s="204">
        <v>1671518</v>
      </c>
      <c r="D94" s="204">
        <v>327445</v>
      </c>
      <c r="E94" s="204">
        <v>347007.5</v>
      </c>
      <c r="F94" s="132">
        <f t="shared" si="12"/>
        <v>-0.056374862214793625</v>
      </c>
      <c r="G94" s="215">
        <f t="shared" si="13"/>
        <v>0.19589678364217436</v>
      </c>
      <c r="H94" s="123"/>
    </row>
    <row r="95" spans="1:8" ht="15.75">
      <c r="A95" s="130"/>
      <c r="B95" s="131">
        <f>DATE(2017,9,1)</f>
        <v>42979</v>
      </c>
      <c r="C95" s="204">
        <v>1667123.5</v>
      </c>
      <c r="D95" s="204">
        <v>332251.5</v>
      </c>
      <c r="E95" s="204">
        <v>308553.5</v>
      </c>
      <c r="F95" s="132">
        <f t="shared" si="12"/>
        <v>0.0768035365017736</v>
      </c>
      <c r="G95" s="215">
        <f t="shared" si="13"/>
        <v>0.1992962728916004</v>
      </c>
      <c r="H95" s="123"/>
    </row>
    <row r="96" spans="1:8" ht="15.75">
      <c r="A96" s="130"/>
      <c r="B96" s="131">
        <f>DATE(2017,10,1)</f>
        <v>43009</v>
      </c>
      <c r="C96" s="204">
        <v>1774605</v>
      </c>
      <c r="D96" s="204">
        <v>339253.5</v>
      </c>
      <c r="E96" s="204">
        <v>366717</v>
      </c>
      <c r="F96" s="132">
        <f t="shared" si="12"/>
        <v>-0.07489017416700071</v>
      </c>
      <c r="G96" s="215">
        <f t="shared" si="13"/>
        <v>0.1911712747343775</v>
      </c>
      <c r="H96" s="123"/>
    </row>
    <row r="97" spans="1:8" ht="15.75">
      <c r="A97" s="130"/>
      <c r="B97" s="131">
        <f>DATE(2017,11,1)</f>
        <v>43040</v>
      </c>
      <c r="C97" s="204">
        <v>1532678.5</v>
      </c>
      <c r="D97" s="204">
        <v>333725</v>
      </c>
      <c r="E97" s="204">
        <v>388040.5</v>
      </c>
      <c r="F97" s="132">
        <f t="shared" si="12"/>
        <v>-0.13997379139548577</v>
      </c>
      <c r="G97" s="215">
        <f t="shared" si="13"/>
        <v>0.217739728194791</v>
      </c>
      <c r="H97" s="123"/>
    </row>
    <row r="98" spans="1:8" ht="15.75">
      <c r="A98" s="130"/>
      <c r="B98" s="131">
        <f>DATE(2017,12,1)</f>
        <v>43070</v>
      </c>
      <c r="C98" s="204">
        <v>1545186.75</v>
      </c>
      <c r="D98" s="204">
        <v>307903.75</v>
      </c>
      <c r="E98" s="204">
        <v>332824</v>
      </c>
      <c r="F98" s="132">
        <f t="shared" si="12"/>
        <v>-0.0748751592433238</v>
      </c>
      <c r="G98" s="215">
        <f t="shared" si="13"/>
        <v>0.19926636699415134</v>
      </c>
      <c r="H98" s="123"/>
    </row>
    <row r="99" spans="1:8" ht="15.75">
      <c r="A99" s="130"/>
      <c r="B99" s="131">
        <f>DATE(2018,1,1)</f>
        <v>43101</v>
      </c>
      <c r="C99" s="204">
        <v>1245691</v>
      </c>
      <c r="D99" s="204">
        <v>242105.5</v>
      </c>
      <c r="E99" s="204">
        <v>315666.5</v>
      </c>
      <c r="F99" s="132">
        <f t="shared" si="12"/>
        <v>-0.23303391395665995</v>
      </c>
      <c r="G99" s="215">
        <f t="shared" si="13"/>
        <v>0.19435437841326622</v>
      </c>
      <c r="H99" s="123"/>
    </row>
    <row r="100" spans="1:8" ht="15.75">
      <c r="A100" s="130"/>
      <c r="B100" s="131">
        <f>DATE(2018,2,1)</f>
        <v>43132</v>
      </c>
      <c r="C100" s="204">
        <v>1262905</v>
      </c>
      <c r="D100" s="204">
        <v>272009.5</v>
      </c>
      <c r="E100" s="204">
        <v>475478</v>
      </c>
      <c r="F100" s="132">
        <f t="shared" si="12"/>
        <v>-0.427924110053462</v>
      </c>
      <c r="G100" s="215">
        <f t="shared" si="13"/>
        <v>0.215383975833495</v>
      </c>
      <c r="H100" s="123"/>
    </row>
    <row r="101" spans="1:8" ht="15.75">
      <c r="A101" s="130"/>
      <c r="B101" s="131">
        <f>DATE(2018,3,1)</f>
        <v>43160</v>
      </c>
      <c r="C101" s="204">
        <v>1602860.5</v>
      </c>
      <c r="D101" s="204">
        <v>265483</v>
      </c>
      <c r="E101" s="204">
        <v>516561</v>
      </c>
      <c r="F101" s="132">
        <f t="shared" si="12"/>
        <v>-0.48605682581534415</v>
      </c>
      <c r="G101" s="215">
        <f t="shared" si="13"/>
        <v>0.1656307582599983</v>
      </c>
      <c r="H101" s="123"/>
    </row>
    <row r="102" spans="1:8" ht="15.75">
      <c r="A102" s="130"/>
      <c r="B102" s="131">
        <f>DATE(2018,4,1)</f>
        <v>43191</v>
      </c>
      <c r="C102" s="204">
        <v>1400292</v>
      </c>
      <c r="D102" s="204">
        <v>271676</v>
      </c>
      <c r="E102" s="204">
        <v>309404.5</v>
      </c>
      <c r="F102" s="132">
        <f t="shared" si="12"/>
        <v>-0.12193907974835531</v>
      </c>
      <c r="G102" s="215">
        <f t="shared" si="13"/>
        <v>0.194013819974691</v>
      </c>
      <c r="H102" s="123"/>
    </row>
    <row r="103" spans="1:8" ht="15.75">
      <c r="A103" s="130"/>
      <c r="B103" s="131">
        <f>DATE(2018,5,1)</f>
        <v>43221</v>
      </c>
      <c r="C103" s="204">
        <v>1392561</v>
      </c>
      <c r="D103" s="204">
        <v>267747</v>
      </c>
      <c r="E103" s="204">
        <v>367495</v>
      </c>
      <c r="F103" s="132">
        <f t="shared" si="12"/>
        <v>-0.27142682213363445</v>
      </c>
      <c r="G103" s="215">
        <f t="shared" si="13"/>
        <v>0.19226949483721</v>
      </c>
      <c r="H103" s="123"/>
    </row>
    <row r="104" spans="1:8" ht="15.75" customHeight="1" thickBot="1">
      <c r="A104" s="130"/>
      <c r="B104" s="131"/>
      <c r="C104" s="204"/>
      <c r="D104" s="204"/>
      <c r="E104" s="204"/>
      <c r="F104" s="132"/>
      <c r="G104" s="215"/>
      <c r="H104" s="123"/>
    </row>
    <row r="105" spans="1:8" ht="17.25" thickBot="1" thickTop="1">
      <c r="A105" s="141" t="s">
        <v>14</v>
      </c>
      <c r="B105" s="142"/>
      <c r="C105" s="207">
        <f>SUM(C93:C104)</f>
        <v>16870036.75</v>
      </c>
      <c r="D105" s="261">
        <f>SUM(D93:D104)</f>
        <v>3322201.75</v>
      </c>
      <c r="E105" s="207">
        <f>SUM(E93:E104)</f>
        <v>4168850.5</v>
      </c>
      <c r="F105" s="269">
        <f>(+D105-E105)/E105</f>
        <v>-0.20308925685869522</v>
      </c>
      <c r="G105" s="267">
        <f>D105/C105</f>
        <v>0.19692913532034836</v>
      </c>
      <c r="H105" s="123"/>
    </row>
    <row r="106" spans="1:8" ht="15.75" customHeight="1" thickTop="1">
      <c r="A106" s="130"/>
      <c r="B106" s="139"/>
      <c r="C106" s="205"/>
      <c r="D106" s="205"/>
      <c r="E106" s="205"/>
      <c r="F106" s="140"/>
      <c r="G106" s="216"/>
      <c r="H106" s="123"/>
    </row>
    <row r="107" spans="1:8" ht="15.75">
      <c r="A107" s="130" t="s">
        <v>55</v>
      </c>
      <c r="B107" s="131">
        <f>DATE(2017,7,1)</f>
        <v>42917</v>
      </c>
      <c r="C107" s="204">
        <v>11293642</v>
      </c>
      <c r="D107" s="204">
        <v>2413267.38</v>
      </c>
      <c r="E107" s="204">
        <v>2520439.82</v>
      </c>
      <c r="F107" s="132">
        <f aca="true" t="shared" si="14" ref="F107:F117">(+D107-E107)/E107</f>
        <v>-0.04252132471070067</v>
      </c>
      <c r="G107" s="215">
        <f aca="true" t="shared" si="15" ref="G107:G117">D107/C107</f>
        <v>0.21368371513812814</v>
      </c>
      <c r="H107" s="123"/>
    </row>
    <row r="108" spans="1:8" ht="15.75">
      <c r="A108" s="130"/>
      <c r="B108" s="131">
        <f>DATE(2017,8,1)</f>
        <v>42948</v>
      </c>
      <c r="C108" s="204">
        <v>10516670</v>
      </c>
      <c r="D108" s="204">
        <v>2335423.3</v>
      </c>
      <c r="E108" s="204">
        <v>3004073.54</v>
      </c>
      <c r="F108" s="132">
        <f t="shared" si="14"/>
        <v>-0.22258118221699733</v>
      </c>
      <c r="G108" s="215">
        <f t="shared" si="15"/>
        <v>0.22206870615888868</v>
      </c>
      <c r="H108" s="123"/>
    </row>
    <row r="109" spans="1:8" ht="15.75">
      <c r="A109" s="130"/>
      <c r="B109" s="131">
        <f>DATE(2017,9,1)</f>
        <v>42979</v>
      </c>
      <c r="C109" s="204">
        <v>10643966</v>
      </c>
      <c r="D109" s="204">
        <v>2183188.72</v>
      </c>
      <c r="E109" s="204">
        <v>2555946.89</v>
      </c>
      <c r="F109" s="132">
        <f t="shared" si="14"/>
        <v>-0.1458395600700451</v>
      </c>
      <c r="G109" s="215">
        <f t="shared" si="15"/>
        <v>0.20511045600859681</v>
      </c>
      <c r="H109" s="123"/>
    </row>
    <row r="110" spans="1:8" ht="15.75">
      <c r="A110" s="130"/>
      <c r="B110" s="131">
        <f>DATE(2017,10,1)</f>
        <v>43009</v>
      </c>
      <c r="C110" s="204">
        <v>10167841</v>
      </c>
      <c r="D110" s="204">
        <v>1755251.41</v>
      </c>
      <c r="E110" s="204">
        <v>2421847.85</v>
      </c>
      <c r="F110" s="132">
        <f t="shared" si="14"/>
        <v>-0.2752429059488606</v>
      </c>
      <c r="G110" s="215">
        <f t="shared" si="15"/>
        <v>0.17262773975320816</v>
      </c>
      <c r="H110" s="123"/>
    </row>
    <row r="111" spans="1:8" ht="15.75">
      <c r="A111" s="130"/>
      <c r="B111" s="131">
        <f>DATE(2017,11,1)</f>
        <v>43040</v>
      </c>
      <c r="C111" s="204">
        <v>10221944</v>
      </c>
      <c r="D111" s="204">
        <v>2279764</v>
      </c>
      <c r="E111" s="204">
        <v>2285644.93</v>
      </c>
      <c r="F111" s="132">
        <f t="shared" si="14"/>
        <v>-0.002572984947403955</v>
      </c>
      <c r="G111" s="215">
        <f t="shared" si="15"/>
        <v>0.22302646150282177</v>
      </c>
      <c r="H111" s="123"/>
    </row>
    <row r="112" spans="1:8" ht="15.75">
      <c r="A112" s="130"/>
      <c r="B112" s="131">
        <f>DATE(2017,12,1)</f>
        <v>43070</v>
      </c>
      <c r="C112" s="204">
        <v>11931336</v>
      </c>
      <c r="D112" s="204">
        <v>2519457.53</v>
      </c>
      <c r="E112" s="204">
        <v>2341724.27</v>
      </c>
      <c r="F112" s="132">
        <f t="shared" si="14"/>
        <v>0.07589845750712562</v>
      </c>
      <c r="G112" s="215">
        <f t="shared" si="15"/>
        <v>0.2111630692489089</v>
      </c>
      <c r="H112" s="123"/>
    </row>
    <row r="113" spans="1:8" ht="15.75">
      <c r="A113" s="130"/>
      <c r="B113" s="131">
        <f>DATE(2018,1,1)</f>
        <v>43101</v>
      </c>
      <c r="C113" s="204">
        <v>11128870</v>
      </c>
      <c r="D113" s="204">
        <v>2138515.99</v>
      </c>
      <c r="E113" s="204">
        <v>2074338.56</v>
      </c>
      <c r="F113" s="132">
        <f t="shared" si="14"/>
        <v>0.030938744155631068</v>
      </c>
      <c r="G113" s="215">
        <f t="shared" si="15"/>
        <v>0.19215931087343102</v>
      </c>
      <c r="H113" s="123"/>
    </row>
    <row r="114" spans="1:8" ht="15.75">
      <c r="A114" s="130"/>
      <c r="B114" s="131">
        <f>DATE(2018,2,1)</f>
        <v>43132</v>
      </c>
      <c r="C114" s="204">
        <v>12301005</v>
      </c>
      <c r="D114" s="204">
        <v>2359809.15</v>
      </c>
      <c r="E114" s="204">
        <v>2577455.58</v>
      </c>
      <c r="F114" s="132">
        <f t="shared" si="14"/>
        <v>-0.0844423592355373</v>
      </c>
      <c r="G114" s="215">
        <f t="shared" si="15"/>
        <v>0.19183872781126418</v>
      </c>
      <c r="H114" s="123"/>
    </row>
    <row r="115" spans="1:8" ht="15.75">
      <c r="A115" s="130"/>
      <c r="B115" s="131">
        <f>DATE(2018,3,1)</f>
        <v>43160</v>
      </c>
      <c r="C115" s="204">
        <v>15353479</v>
      </c>
      <c r="D115" s="204">
        <v>2616619.2</v>
      </c>
      <c r="E115" s="204">
        <v>2876855.5</v>
      </c>
      <c r="F115" s="132">
        <f t="shared" si="14"/>
        <v>-0.09045859272389586</v>
      </c>
      <c r="G115" s="215">
        <f t="shared" si="15"/>
        <v>0.1704251655276306</v>
      </c>
      <c r="H115" s="123"/>
    </row>
    <row r="116" spans="1:8" ht="15.75">
      <c r="A116" s="130"/>
      <c r="B116" s="131">
        <f>DATE(2018,4,1)</f>
        <v>43191</v>
      </c>
      <c r="C116" s="204">
        <v>13733950.25</v>
      </c>
      <c r="D116" s="204">
        <v>2580088.79</v>
      </c>
      <c r="E116" s="204">
        <v>3264774.26</v>
      </c>
      <c r="F116" s="132">
        <f t="shared" si="14"/>
        <v>-0.20971908483498022</v>
      </c>
      <c r="G116" s="215">
        <f t="shared" si="15"/>
        <v>0.18786210398570508</v>
      </c>
      <c r="H116" s="123"/>
    </row>
    <row r="117" spans="1:8" ht="15.75">
      <c r="A117" s="130"/>
      <c r="B117" s="131">
        <f>DATE(2018,5,1)</f>
        <v>43221</v>
      </c>
      <c r="C117" s="204">
        <v>13916191</v>
      </c>
      <c r="D117" s="204">
        <v>2779429.23</v>
      </c>
      <c r="E117" s="204">
        <v>2756446.58</v>
      </c>
      <c r="F117" s="132">
        <f t="shared" si="14"/>
        <v>0.008337781753782404</v>
      </c>
      <c r="G117" s="215">
        <f t="shared" si="15"/>
        <v>0.19972629220165203</v>
      </c>
      <c r="H117" s="123"/>
    </row>
    <row r="118" spans="1:8" ht="15.75" customHeight="1" thickBot="1">
      <c r="A118" s="130"/>
      <c r="B118" s="131"/>
      <c r="C118" s="204"/>
      <c r="D118" s="204"/>
      <c r="E118" s="204"/>
      <c r="F118" s="132"/>
      <c r="G118" s="215"/>
      <c r="H118" s="123"/>
    </row>
    <row r="119" spans="1:8" ht="17.25" thickBot="1" thickTop="1">
      <c r="A119" s="141" t="s">
        <v>14</v>
      </c>
      <c r="B119" s="142"/>
      <c r="C119" s="206">
        <f>SUM(C107:C118)</f>
        <v>131208894.25</v>
      </c>
      <c r="D119" s="206">
        <f>SUM(D107:D118)</f>
        <v>25960814.7</v>
      </c>
      <c r="E119" s="206">
        <f>SUM(E107:E118)</f>
        <v>28679547.779999994</v>
      </c>
      <c r="F119" s="143">
        <f>(+D119-E119)/E119</f>
        <v>-0.09479692988380847</v>
      </c>
      <c r="G119" s="217">
        <f>D119/C119</f>
        <v>0.19785865011967357</v>
      </c>
      <c r="H119" s="123"/>
    </row>
    <row r="120" spans="1:8" ht="15.75" customHeight="1" thickTop="1">
      <c r="A120" s="138"/>
      <c r="B120" s="139"/>
      <c r="C120" s="205"/>
      <c r="D120" s="205"/>
      <c r="E120" s="205"/>
      <c r="F120" s="140"/>
      <c r="G120" s="216"/>
      <c r="H120" s="123"/>
    </row>
    <row r="121" spans="1:8" ht="15.75">
      <c r="A121" s="130" t="s">
        <v>18</v>
      </c>
      <c r="B121" s="131">
        <f>DATE(2017,7,1)</f>
        <v>42917</v>
      </c>
      <c r="C121" s="204">
        <v>11171474.5</v>
      </c>
      <c r="D121" s="204">
        <v>2350317.5</v>
      </c>
      <c r="E121" s="204">
        <v>2118226.5</v>
      </c>
      <c r="F121" s="132">
        <f aca="true" t="shared" si="16" ref="F121:F131">(+D121-E121)/E121</f>
        <v>0.1095685470840819</v>
      </c>
      <c r="G121" s="215">
        <f aca="true" t="shared" si="17" ref="G121:G131">D121/C121</f>
        <v>0.2103856120335771</v>
      </c>
      <c r="H121" s="123"/>
    </row>
    <row r="122" spans="1:8" ht="15.75">
      <c r="A122" s="130"/>
      <c r="B122" s="131">
        <f>DATE(2017,8,1)</f>
        <v>42948</v>
      </c>
      <c r="C122" s="204">
        <v>11368179</v>
      </c>
      <c r="D122" s="204">
        <v>1942234.5</v>
      </c>
      <c r="E122" s="204">
        <v>2333266.5</v>
      </c>
      <c r="F122" s="132">
        <f t="shared" si="16"/>
        <v>-0.167589943111942</v>
      </c>
      <c r="G122" s="215">
        <f t="shared" si="17"/>
        <v>0.17084833903477417</v>
      </c>
      <c r="H122" s="123"/>
    </row>
    <row r="123" spans="1:8" ht="15.75">
      <c r="A123" s="130"/>
      <c r="B123" s="131">
        <f>DATE(2017,9,1)</f>
        <v>42979</v>
      </c>
      <c r="C123" s="204">
        <v>10900273.26</v>
      </c>
      <c r="D123" s="204">
        <v>2639234.26</v>
      </c>
      <c r="E123" s="204">
        <v>2224408.5</v>
      </c>
      <c r="F123" s="132">
        <f t="shared" si="16"/>
        <v>0.18648812032502113</v>
      </c>
      <c r="G123" s="215">
        <f t="shared" si="17"/>
        <v>0.24212551346625596</v>
      </c>
      <c r="H123" s="123"/>
    </row>
    <row r="124" spans="1:8" ht="15.75">
      <c r="A124" s="130"/>
      <c r="B124" s="131">
        <f>DATE(2017,10,1)</f>
        <v>43009</v>
      </c>
      <c r="C124" s="204">
        <v>11731634</v>
      </c>
      <c r="D124" s="204">
        <v>2495709.5</v>
      </c>
      <c r="E124" s="204">
        <v>2409509.55</v>
      </c>
      <c r="F124" s="132">
        <f t="shared" si="16"/>
        <v>0.03577489452158436</v>
      </c>
      <c r="G124" s="215">
        <f t="shared" si="17"/>
        <v>0.21273332427520328</v>
      </c>
      <c r="H124" s="123"/>
    </row>
    <row r="125" spans="1:8" ht="15.75">
      <c r="A125" s="130"/>
      <c r="B125" s="131">
        <f>DATE(2017,11,1)</f>
        <v>43040</v>
      </c>
      <c r="C125" s="204">
        <v>10822955.5</v>
      </c>
      <c r="D125" s="204">
        <v>2041604</v>
      </c>
      <c r="E125" s="204">
        <v>2793601.5</v>
      </c>
      <c r="F125" s="132">
        <f t="shared" si="16"/>
        <v>-0.26918567304606617</v>
      </c>
      <c r="G125" s="215">
        <f t="shared" si="17"/>
        <v>0.18863645886745076</v>
      </c>
      <c r="H125" s="123"/>
    </row>
    <row r="126" spans="1:8" ht="15.75">
      <c r="A126" s="130"/>
      <c r="B126" s="131">
        <f>DATE(2017,12,1)</f>
        <v>43070</v>
      </c>
      <c r="C126" s="204">
        <v>12526773</v>
      </c>
      <c r="D126" s="204">
        <v>2741297</v>
      </c>
      <c r="E126" s="204">
        <v>3032603.5</v>
      </c>
      <c r="F126" s="132">
        <f t="shared" si="16"/>
        <v>-0.09605822192053791</v>
      </c>
      <c r="G126" s="215">
        <f t="shared" si="17"/>
        <v>0.2188350503357888</v>
      </c>
      <c r="H126" s="123"/>
    </row>
    <row r="127" spans="1:8" ht="15.75">
      <c r="A127" s="130"/>
      <c r="B127" s="131">
        <f>DATE(2018,1,1)</f>
        <v>43101</v>
      </c>
      <c r="C127" s="204">
        <v>11541390</v>
      </c>
      <c r="D127" s="204">
        <v>2741722.5</v>
      </c>
      <c r="E127" s="204">
        <v>2469743</v>
      </c>
      <c r="F127" s="132">
        <f t="shared" si="16"/>
        <v>0.11012461620500595</v>
      </c>
      <c r="G127" s="215">
        <f t="shared" si="17"/>
        <v>0.23755565837390472</v>
      </c>
      <c r="H127" s="123"/>
    </row>
    <row r="128" spans="1:8" ht="15.75">
      <c r="A128" s="130"/>
      <c r="B128" s="131">
        <f>DATE(2018,2,1)</f>
        <v>43132</v>
      </c>
      <c r="C128" s="204">
        <v>11523769</v>
      </c>
      <c r="D128" s="204">
        <v>2377846.5</v>
      </c>
      <c r="E128" s="204">
        <v>2552376</v>
      </c>
      <c r="F128" s="132">
        <f t="shared" si="16"/>
        <v>-0.06837922782536743</v>
      </c>
      <c r="G128" s="215">
        <f t="shared" si="17"/>
        <v>0.2063427772632374</v>
      </c>
      <c r="H128" s="123"/>
    </row>
    <row r="129" spans="1:8" ht="15.75">
      <c r="A129" s="130"/>
      <c r="B129" s="131">
        <f>DATE(2018,3,1)</f>
        <v>43160</v>
      </c>
      <c r="C129" s="204">
        <v>13401185.2</v>
      </c>
      <c r="D129" s="204">
        <v>2485041.2</v>
      </c>
      <c r="E129" s="204">
        <v>2805949.5</v>
      </c>
      <c r="F129" s="132">
        <f t="shared" si="16"/>
        <v>-0.11436709748340083</v>
      </c>
      <c r="G129" s="215">
        <f t="shared" si="17"/>
        <v>0.18543443456031042</v>
      </c>
      <c r="H129" s="123"/>
    </row>
    <row r="130" spans="1:8" ht="15.75">
      <c r="A130" s="130"/>
      <c r="B130" s="131">
        <f>DATE(2018,4,1)</f>
        <v>43191</v>
      </c>
      <c r="C130" s="204">
        <v>12111878</v>
      </c>
      <c r="D130" s="204">
        <v>2474304</v>
      </c>
      <c r="E130" s="204">
        <v>2242080</v>
      </c>
      <c r="F130" s="132">
        <f t="shared" si="16"/>
        <v>0.10357525155213017</v>
      </c>
      <c r="G130" s="215">
        <f t="shared" si="17"/>
        <v>0.20428739457250147</v>
      </c>
      <c r="H130" s="123"/>
    </row>
    <row r="131" spans="1:8" ht="15.75">
      <c r="A131" s="130"/>
      <c r="B131" s="131">
        <f>DATE(2018,5,1)</f>
        <v>43221</v>
      </c>
      <c r="C131" s="204">
        <v>12376580</v>
      </c>
      <c r="D131" s="204">
        <v>2335108.5</v>
      </c>
      <c r="E131" s="204">
        <v>2140945</v>
      </c>
      <c r="F131" s="132">
        <f t="shared" si="16"/>
        <v>0.09069055954263187</v>
      </c>
      <c r="G131" s="215">
        <f t="shared" si="17"/>
        <v>0.188671547390313</v>
      </c>
      <c r="H131" s="123"/>
    </row>
    <row r="132" spans="1:8" ht="15.75" customHeight="1" thickBot="1">
      <c r="A132" s="130"/>
      <c r="B132" s="131"/>
      <c r="C132" s="204"/>
      <c r="D132" s="204"/>
      <c r="E132" s="204"/>
      <c r="F132" s="132"/>
      <c r="G132" s="215"/>
      <c r="H132" s="123"/>
    </row>
    <row r="133" spans="1:8" ht="17.25" thickBot="1" thickTop="1">
      <c r="A133" s="141" t="s">
        <v>14</v>
      </c>
      <c r="B133" s="142"/>
      <c r="C133" s="206">
        <f>SUM(C121:C132)</f>
        <v>129476091.46</v>
      </c>
      <c r="D133" s="206">
        <f>SUM(D121:D132)</f>
        <v>26624419.459999997</v>
      </c>
      <c r="E133" s="206">
        <f>SUM(E121:E132)</f>
        <v>27122709.55</v>
      </c>
      <c r="F133" s="143">
        <f>(+D133-E133)/E133</f>
        <v>-0.018371692882726887</v>
      </c>
      <c r="G133" s="217">
        <f>D133/C133</f>
        <v>0.2056319368292429</v>
      </c>
      <c r="H133" s="123"/>
    </row>
    <row r="134" spans="1:8" ht="15.75" customHeight="1" thickTop="1">
      <c r="A134" s="138"/>
      <c r="B134" s="139"/>
      <c r="C134" s="205"/>
      <c r="D134" s="205"/>
      <c r="E134" s="205"/>
      <c r="F134" s="140"/>
      <c r="G134" s="216"/>
      <c r="H134" s="123"/>
    </row>
    <row r="135" spans="1:8" ht="15.75">
      <c r="A135" s="130" t="s">
        <v>58</v>
      </c>
      <c r="B135" s="131">
        <f>DATE(2017,7,1)</f>
        <v>42917</v>
      </c>
      <c r="C135" s="204">
        <v>12458554</v>
      </c>
      <c r="D135" s="204">
        <v>2354816.66</v>
      </c>
      <c r="E135" s="204">
        <v>1971007.14</v>
      </c>
      <c r="F135" s="132">
        <f aca="true" t="shared" si="18" ref="F135:F145">(+D135-E135)/E135</f>
        <v>0.19472761524344365</v>
      </c>
      <c r="G135" s="215">
        <f aca="true" t="shared" si="19" ref="G135:G145">D135/C135</f>
        <v>0.1890120362282814</v>
      </c>
      <c r="H135" s="123"/>
    </row>
    <row r="136" spans="1:8" ht="15.75">
      <c r="A136" s="130"/>
      <c r="B136" s="131">
        <f>DATE(2017,8,1)</f>
        <v>42948</v>
      </c>
      <c r="C136" s="204">
        <v>11608228</v>
      </c>
      <c r="D136" s="204">
        <v>1981472</v>
      </c>
      <c r="E136" s="204">
        <v>1451474</v>
      </c>
      <c r="F136" s="132">
        <f t="shared" si="18"/>
        <v>0.3651446736214359</v>
      </c>
      <c r="G136" s="215">
        <f t="shared" si="19"/>
        <v>0.17069547565743884</v>
      </c>
      <c r="H136" s="123"/>
    </row>
    <row r="137" spans="1:8" ht="15.75">
      <c r="A137" s="130"/>
      <c r="B137" s="131">
        <f>DATE(2017,9,1)</f>
        <v>42979</v>
      </c>
      <c r="C137" s="204">
        <v>11938179</v>
      </c>
      <c r="D137" s="204">
        <v>2416134</v>
      </c>
      <c r="E137" s="204">
        <v>2289039.96</v>
      </c>
      <c r="F137" s="132">
        <f t="shared" si="18"/>
        <v>0.05552285771367663</v>
      </c>
      <c r="G137" s="215">
        <f t="shared" si="19"/>
        <v>0.2023871479896557</v>
      </c>
      <c r="H137" s="123"/>
    </row>
    <row r="138" spans="1:8" ht="15.75">
      <c r="A138" s="130"/>
      <c r="B138" s="131">
        <f>DATE(2017,10,1)</f>
        <v>43009</v>
      </c>
      <c r="C138" s="204">
        <v>11622187</v>
      </c>
      <c r="D138" s="204">
        <v>2118997.32</v>
      </c>
      <c r="E138" s="204">
        <v>2354728.74</v>
      </c>
      <c r="F138" s="132">
        <f t="shared" si="18"/>
        <v>-0.10010979863438553</v>
      </c>
      <c r="G138" s="215">
        <f t="shared" si="19"/>
        <v>0.1823234577106701</v>
      </c>
      <c r="H138" s="123"/>
    </row>
    <row r="139" spans="1:8" ht="15.75">
      <c r="A139" s="130"/>
      <c r="B139" s="131">
        <f>DATE(2017,11,1)</f>
        <v>43040</v>
      </c>
      <c r="C139" s="204">
        <v>12029157</v>
      </c>
      <c r="D139" s="204">
        <v>2312922.92</v>
      </c>
      <c r="E139" s="204">
        <v>1761255.13</v>
      </c>
      <c r="F139" s="132">
        <f t="shared" si="18"/>
        <v>0.3132242345832089</v>
      </c>
      <c r="G139" s="215">
        <f t="shared" si="19"/>
        <v>0.19227639310053066</v>
      </c>
      <c r="H139" s="123"/>
    </row>
    <row r="140" spans="1:8" ht="15.75">
      <c r="A140" s="130"/>
      <c r="B140" s="131">
        <f>DATE(2017,12,1)</f>
        <v>43070</v>
      </c>
      <c r="C140" s="204">
        <v>12735350</v>
      </c>
      <c r="D140" s="204">
        <v>2152431.25</v>
      </c>
      <c r="E140" s="204">
        <v>2578864.5</v>
      </c>
      <c r="F140" s="132">
        <f t="shared" si="18"/>
        <v>-0.165356981725872</v>
      </c>
      <c r="G140" s="215">
        <f t="shared" si="19"/>
        <v>0.16901233574263763</v>
      </c>
      <c r="H140" s="123"/>
    </row>
    <row r="141" spans="1:8" ht="15.75">
      <c r="A141" s="130"/>
      <c r="B141" s="131">
        <f>DATE(2018,1,1)</f>
        <v>43101</v>
      </c>
      <c r="C141" s="204">
        <v>11287886</v>
      </c>
      <c r="D141" s="204">
        <v>2163065</v>
      </c>
      <c r="E141" s="204">
        <v>2364002.4</v>
      </c>
      <c r="F141" s="132">
        <f t="shared" si="18"/>
        <v>-0.08499881387599265</v>
      </c>
      <c r="G141" s="215">
        <f t="shared" si="19"/>
        <v>0.19162711246375097</v>
      </c>
      <c r="H141" s="123"/>
    </row>
    <row r="142" spans="1:8" ht="15.75">
      <c r="A142" s="130"/>
      <c r="B142" s="131">
        <f>DATE(2018,2,1)</f>
        <v>43132</v>
      </c>
      <c r="C142" s="204">
        <v>11151697</v>
      </c>
      <c r="D142" s="204">
        <v>2130295.34</v>
      </c>
      <c r="E142" s="204">
        <v>2194225.21</v>
      </c>
      <c r="F142" s="132">
        <f t="shared" si="18"/>
        <v>-0.0291355097501592</v>
      </c>
      <c r="G142" s="215">
        <f t="shared" si="19"/>
        <v>0.19102880395692243</v>
      </c>
      <c r="H142" s="123"/>
    </row>
    <row r="143" spans="1:8" ht="15.75">
      <c r="A143" s="130"/>
      <c r="B143" s="131">
        <f>DATE(2018,3,1)</f>
        <v>43160</v>
      </c>
      <c r="C143" s="204">
        <v>13637400</v>
      </c>
      <c r="D143" s="204">
        <v>2819224.65</v>
      </c>
      <c r="E143" s="204">
        <v>2708171.36</v>
      </c>
      <c r="F143" s="132">
        <f t="shared" si="18"/>
        <v>0.04100674412272052</v>
      </c>
      <c r="G143" s="215">
        <f t="shared" si="19"/>
        <v>0.20672742971534164</v>
      </c>
      <c r="H143" s="123"/>
    </row>
    <row r="144" spans="1:8" ht="15.75">
      <c r="A144" s="130"/>
      <c r="B144" s="131">
        <f>DATE(2018,4,1)</f>
        <v>43191</v>
      </c>
      <c r="C144" s="204">
        <v>12528720</v>
      </c>
      <c r="D144" s="204">
        <v>1986224.5</v>
      </c>
      <c r="E144" s="204">
        <v>2391350.67</v>
      </c>
      <c r="F144" s="132">
        <f t="shared" si="18"/>
        <v>-0.16941311664675257</v>
      </c>
      <c r="G144" s="215">
        <f t="shared" si="19"/>
        <v>0.15853371294114643</v>
      </c>
      <c r="H144" s="123"/>
    </row>
    <row r="145" spans="1:8" ht="15.75">
      <c r="A145" s="130"/>
      <c r="B145" s="131">
        <f>DATE(2018,5,1)</f>
        <v>43221</v>
      </c>
      <c r="C145" s="204">
        <v>11858430</v>
      </c>
      <c r="D145" s="204">
        <v>2106755.14</v>
      </c>
      <c r="E145" s="204">
        <v>2186983.7</v>
      </c>
      <c r="F145" s="132">
        <f t="shared" si="18"/>
        <v>-0.03668457154024515</v>
      </c>
      <c r="G145" s="215">
        <f t="shared" si="19"/>
        <v>0.17765885871907158</v>
      </c>
      <c r="H145" s="123"/>
    </row>
    <row r="146" spans="1:8" ht="15.75" thickBot="1">
      <c r="A146" s="133"/>
      <c r="B146" s="131"/>
      <c r="C146" s="204"/>
      <c r="D146" s="204"/>
      <c r="E146" s="204"/>
      <c r="F146" s="132"/>
      <c r="G146" s="215"/>
      <c r="H146" s="123"/>
    </row>
    <row r="147" spans="1:8" ht="17.25" thickBot="1" thickTop="1">
      <c r="A147" s="141" t="s">
        <v>14</v>
      </c>
      <c r="B147" s="142"/>
      <c r="C147" s="207">
        <f>SUM(C135:C146)</f>
        <v>132855788</v>
      </c>
      <c r="D147" s="207">
        <f>SUM(D135:D146)</f>
        <v>24542338.78</v>
      </c>
      <c r="E147" s="207">
        <f>SUM(E135:E146)</f>
        <v>24251102.81</v>
      </c>
      <c r="F147" s="143">
        <f>(+D147-E147)/E147</f>
        <v>0.012009184583552658</v>
      </c>
      <c r="G147" s="267">
        <f>D147/C147</f>
        <v>0.18472916498000072</v>
      </c>
      <c r="H147" s="123"/>
    </row>
    <row r="148" spans="1:8" ht="15.75" customHeight="1" thickTop="1">
      <c r="A148" s="138"/>
      <c r="B148" s="139"/>
      <c r="C148" s="205"/>
      <c r="D148" s="205"/>
      <c r="E148" s="205"/>
      <c r="F148" s="140"/>
      <c r="G148" s="219"/>
      <c r="H148" s="123"/>
    </row>
    <row r="149" spans="1:8" ht="15.75">
      <c r="A149" s="130" t="s">
        <v>59</v>
      </c>
      <c r="B149" s="131">
        <f>DATE(2017,7,1)</f>
        <v>42917</v>
      </c>
      <c r="C149" s="204">
        <v>808349</v>
      </c>
      <c r="D149" s="204">
        <v>185261.5</v>
      </c>
      <c r="E149" s="204">
        <v>206069.5</v>
      </c>
      <c r="F149" s="132">
        <f aca="true" t="shared" si="20" ref="F149:F159">(+D149-E149)/E149</f>
        <v>-0.10097564171311135</v>
      </c>
      <c r="G149" s="215">
        <f aca="true" t="shared" si="21" ref="G149:G159">D149/C149</f>
        <v>0.22918504259917435</v>
      </c>
      <c r="H149" s="123"/>
    </row>
    <row r="150" spans="1:8" ht="15.75">
      <c r="A150" s="130"/>
      <c r="B150" s="131">
        <f>DATE(2017,8,1)</f>
        <v>42948</v>
      </c>
      <c r="C150" s="204">
        <v>727832</v>
      </c>
      <c r="D150" s="204">
        <v>131840.5</v>
      </c>
      <c r="E150" s="204">
        <v>195328</v>
      </c>
      <c r="F150" s="132">
        <f t="shared" si="20"/>
        <v>-0.32503020560288337</v>
      </c>
      <c r="G150" s="215">
        <f t="shared" si="21"/>
        <v>0.1811413897712659</v>
      </c>
      <c r="H150" s="123"/>
    </row>
    <row r="151" spans="1:8" ht="15.75">
      <c r="A151" s="130"/>
      <c r="B151" s="131">
        <f>DATE(2017,9,1)</f>
        <v>42979</v>
      </c>
      <c r="C151" s="204">
        <v>793144</v>
      </c>
      <c r="D151" s="204">
        <v>130165.5</v>
      </c>
      <c r="E151" s="204">
        <v>178936.5</v>
      </c>
      <c r="F151" s="132">
        <f t="shared" si="20"/>
        <v>-0.27256037756410795</v>
      </c>
      <c r="G151" s="215">
        <f t="shared" si="21"/>
        <v>0.16411332620558183</v>
      </c>
      <c r="H151" s="123"/>
    </row>
    <row r="152" spans="1:8" ht="15.75">
      <c r="A152" s="130"/>
      <c r="B152" s="131">
        <f>DATE(2017,10,1)</f>
        <v>43009</v>
      </c>
      <c r="C152" s="204">
        <v>734138</v>
      </c>
      <c r="D152" s="204">
        <v>213032.5</v>
      </c>
      <c r="E152" s="204">
        <v>164860</v>
      </c>
      <c r="F152" s="132">
        <f t="shared" si="20"/>
        <v>0.292202474827126</v>
      </c>
      <c r="G152" s="215">
        <f t="shared" si="21"/>
        <v>0.2901804565354198</v>
      </c>
      <c r="H152" s="123"/>
    </row>
    <row r="153" spans="1:8" ht="15.75">
      <c r="A153" s="130"/>
      <c r="B153" s="131">
        <f>DATE(2017,11,1)</f>
        <v>43040</v>
      </c>
      <c r="C153" s="204">
        <v>620250</v>
      </c>
      <c r="D153" s="204">
        <v>120661.5</v>
      </c>
      <c r="E153" s="204">
        <v>89576</v>
      </c>
      <c r="F153" s="132">
        <f t="shared" si="20"/>
        <v>0.34702933821559345</v>
      </c>
      <c r="G153" s="215">
        <f t="shared" si="21"/>
        <v>0.19453688029020555</v>
      </c>
      <c r="H153" s="123"/>
    </row>
    <row r="154" spans="1:8" ht="15.75">
      <c r="A154" s="130"/>
      <c r="B154" s="131">
        <f>DATE(2017,12,1)</f>
        <v>43070</v>
      </c>
      <c r="C154" s="204">
        <v>677843</v>
      </c>
      <c r="D154" s="204">
        <v>179648.5</v>
      </c>
      <c r="E154" s="204">
        <v>212853</v>
      </c>
      <c r="F154" s="132">
        <f t="shared" si="20"/>
        <v>-0.15599733149168676</v>
      </c>
      <c r="G154" s="215">
        <f t="shared" si="21"/>
        <v>0.2650296602605618</v>
      </c>
      <c r="H154" s="123"/>
    </row>
    <row r="155" spans="1:8" ht="15.75">
      <c r="A155" s="130"/>
      <c r="B155" s="131">
        <f>DATE(2018,1,1)</f>
        <v>43101</v>
      </c>
      <c r="C155" s="204">
        <v>607267</v>
      </c>
      <c r="D155" s="204">
        <v>161078</v>
      </c>
      <c r="E155" s="204">
        <v>204097</v>
      </c>
      <c r="F155" s="132">
        <f t="shared" si="20"/>
        <v>-0.21077722847469585</v>
      </c>
      <c r="G155" s="215">
        <f t="shared" si="21"/>
        <v>0.2652507052087467</v>
      </c>
      <c r="H155" s="123"/>
    </row>
    <row r="156" spans="1:8" ht="15.75">
      <c r="A156" s="130"/>
      <c r="B156" s="131">
        <f>DATE(2018,2,1)</f>
        <v>43132</v>
      </c>
      <c r="C156" s="204">
        <v>663220</v>
      </c>
      <c r="D156" s="204">
        <v>179952.5</v>
      </c>
      <c r="E156" s="204">
        <v>169150</v>
      </c>
      <c r="F156" s="132">
        <f t="shared" si="20"/>
        <v>0.06386343482116465</v>
      </c>
      <c r="G156" s="215">
        <f t="shared" si="21"/>
        <v>0.27133153403093996</v>
      </c>
      <c r="H156" s="123"/>
    </row>
    <row r="157" spans="1:8" ht="15.75">
      <c r="A157" s="130"/>
      <c r="B157" s="131">
        <f>DATE(2018,3,1)</f>
        <v>43160</v>
      </c>
      <c r="C157" s="204">
        <v>801272</v>
      </c>
      <c r="D157" s="204">
        <v>201152</v>
      </c>
      <c r="E157" s="204">
        <v>213859</v>
      </c>
      <c r="F157" s="132">
        <f t="shared" si="20"/>
        <v>-0.059417653687710126</v>
      </c>
      <c r="G157" s="215">
        <f t="shared" si="21"/>
        <v>0.2510408450563604</v>
      </c>
      <c r="H157" s="123"/>
    </row>
    <row r="158" spans="1:8" ht="15.75">
      <c r="A158" s="130"/>
      <c r="B158" s="131">
        <f>DATE(2018,4,1)</f>
        <v>43191</v>
      </c>
      <c r="C158" s="204">
        <v>649353</v>
      </c>
      <c r="D158" s="204">
        <v>173231</v>
      </c>
      <c r="E158" s="204">
        <v>213559</v>
      </c>
      <c r="F158" s="132">
        <f t="shared" si="20"/>
        <v>-0.1888377450727902</v>
      </c>
      <c r="G158" s="215">
        <f t="shared" si="21"/>
        <v>0.26677477427531715</v>
      </c>
      <c r="H158" s="123"/>
    </row>
    <row r="159" spans="1:8" ht="15.75">
      <c r="A159" s="130"/>
      <c r="B159" s="131">
        <f>DATE(2018,5,1)</f>
        <v>43221</v>
      </c>
      <c r="C159" s="204">
        <v>599147</v>
      </c>
      <c r="D159" s="204">
        <v>155638.5</v>
      </c>
      <c r="E159" s="204">
        <v>166808</v>
      </c>
      <c r="F159" s="132">
        <f t="shared" si="20"/>
        <v>-0.06696021773536041</v>
      </c>
      <c r="G159" s="215">
        <f t="shared" si="21"/>
        <v>0.25976680180323025</v>
      </c>
      <c r="H159" s="123"/>
    </row>
    <row r="160" spans="1:8" ht="15.75" thickBot="1">
      <c r="A160" s="133"/>
      <c r="B160" s="134"/>
      <c r="C160" s="204"/>
      <c r="D160" s="204"/>
      <c r="E160" s="204"/>
      <c r="F160" s="132"/>
      <c r="G160" s="215"/>
      <c r="H160" s="123"/>
    </row>
    <row r="161" spans="1:8" ht="17.25" thickBot="1" thickTop="1">
      <c r="A161" s="144" t="s">
        <v>14</v>
      </c>
      <c r="B161" s="145"/>
      <c r="C161" s="207">
        <f>SUM(C149:C160)</f>
        <v>7681815</v>
      </c>
      <c r="D161" s="207">
        <f>SUM(D149:D160)</f>
        <v>1831662</v>
      </c>
      <c r="E161" s="207">
        <f>SUM(E149:E160)</f>
        <v>2015096</v>
      </c>
      <c r="F161" s="143">
        <f>(+D161-E161)/E161</f>
        <v>-0.09102990626749297</v>
      </c>
      <c r="G161" s="217">
        <f>D161/C161</f>
        <v>0.2384413058632628</v>
      </c>
      <c r="H161" s="123"/>
    </row>
    <row r="162" spans="1:8" ht="15.75" customHeight="1" thickTop="1">
      <c r="A162" s="130"/>
      <c r="B162" s="134"/>
      <c r="C162" s="204"/>
      <c r="D162" s="204"/>
      <c r="E162" s="204"/>
      <c r="F162" s="132"/>
      <c r="G162" s="218"/>
      <c r="H162" s="123"/>
    </row>
    <row r="163" spans="1:8" ht="15.75">
      <c r="A163" s="130" t="s">
        <v>40</v>
      </c>
      <c r="B163" s="131">
        <f>DATE(2017,7,1)</f>
        <v>42917</v>
      </c>
      <c r="C163" s="204">
        <v>15476448</v>
      </c>
      <c r="D163" s="204">
        <v>3485005.33</v>
      </c>
      <c r="E163" s="204">
        <v>3555002.5</v>
      </c>
      <c r="F163" s="132">
        <f aca="true" t="shared" si="22" ref="F163:F173">(+D163-E163)/E163</f>
        <v>-0.019689766744186515</v>
      </c>
      <c r="G163" s="215">
        <f aca="true" t="shared" si="23" ref="G163:G173">D163/C163</f>
        <v>0.22518121276923492</v>
      </c>
      <c r="H163" s="123"/>
    </row>
    <row r="164" spans="1:8" ht="15.75">
      <c r="A164" s="130"/>
      <c r="B164" s="131">
        <f>DATE(2017,8,1)</f>
        <v>42948</v>
      </c>
      <c r="C164" s="204">
        <v>14484713</v>
      </c>
      <c r="D164" s="204">
        <v>2756152.9</v>
      </c>
      <c r="E164" s="204">
        <v>2648098.2</v>
      </c>
      <c r="F164" s="132">
        <f t="shared" si="22"/>
        <v>0.04080464236560401</v>
      </c>
      <c r="G164" s="215">
        <f t="shared" si="23"/>
        <v>0.19028011808035133</v>
      </c>
      <c r="H164" s="123"/>
    </row>
    <row r="165" spans="1:8" ht="15.75">
      <c r="A165" s="130"/>
      <c r="B165" s="131">
        <f>DATE(2017,9,1)</f>
        <v>42979</v>
      </c>
      <c r="C165" s="204">
        <v>16041731</v>
      </c>
      <c r="D165" s="204">
        <v>3555670.84</v>
      </c>
      <c r="E165" s="204">
        <v>2901818.1</v>
      </c>
      <c r="F165" s="132">
        <f t="shared" si="22"/>
        <v>0.22532519870904374</v>
      </c>
      <c r="G165" s="215">
        <f t="shared" si="23"/>
        <v>0.22165131929964416</v>
      </c>
      <c r="H165" s="123"/>
    </row>
    <row r="166" spans="1:8" ht="15.75">
      <c r="A166" s="130"/>
      <c r="B166" s="131">
        <f>DATE(2017,10,1)</f>
        <v>43009</v>
      </c>
      <c r="C166" s="204">
        <v>15374937</v>
      </c>
      <c r="D166" s="204">
        <v>3109647.95</v>
      </c>
      <c r="E166" s="204">
        <v>2903466</v>
      </c>
      <c r="F166" s="132">
        <f t="shared" si="22"/>
        <v>0.07101235213362243</v>
      </c>
      <c r="G166" s="215">
        <f t="shared" si="23"/>
        <v>0.20225435395279995</v>
      </c>
      <c r="H166" s="123"/>
    </row>
    <row r="167" spans="1:8" ht="15.75">
      <c r="A167" s="130"/>
      <c r="B167" s="131">
        <f>DATE(2017,11,1)</f>
        <v>43040</v>
      </c>
      <c r="C167" s="204">
        <v>16405899</v>
      </c>
      <c r="D167" s="204">
        <v>3185542.02</v>
      </c>
      <c r="E167" s="204">
        <v>2588813.5</v>
      </c>
      <c r="F167" s="132">
        <f t="shared" si="22"/>
        <v>0.23050270712818827</v>
      </c>
      <c r="G167" s="215">
        <f t="shared" si="23"/>
        <v>0.19417052488254377</v>
      </c>
      <c r="H167" s="123"/>
    </row>
    <row r="168" spans="1:8" ht="15.75">
      <c r="A168" s="130"/>
      <c r="B168" s="131">
        <f>DATE(2017,12,1)</f>
        <v>43070</v>
      </c>
      <c r="C168" s="204">
        <v>19127338.5</v>
      </c>
      <c r="D168" s="204">
        <v>3702278.99</v>
      </c>
      <c r="E168" s="204">
        <v>3285950.5</v>
      </c>
      <c r="F168" s="132">
        <f t="shared" si="22"/>
        <v>0.1266995622727732</v>
      </c>
      <c r="G168" s="215">
        <f t="shared" si="23"/>
        <v>0.19355954776457793</v>
      </c>
      <c r="H168" s="123"/>
    </row>
    <row r="169" spans="1:8" ht="15.75">
      <c r="A169" s="130"/>
      <c r="B169" s="131">
        <f>DATE(2018,1,1)</f>
        <v>43101</v>
      </c>
      <c r="C169" s="204">
        <v>14790104</v>
      </c>
      <c r="D169" s="204">
        <v>3099858.41</v>
      </c>
      <c r="E169" s="204">
        <v>2957103</v>
      </c>
      <c r="F169" s="132">
        <f t="shared" si="22"/>
        <v>0.04827542699730113</v>
      </c>
      <c r="G169" s="215">
        <f t="shared" si="23"/>
        <v>0.2095900346610139</v>
      </c>
      <c r="H169" s="123"/>
    </row>
    <row r="170" spans="1:8" ht="15.75">
      <c r="A170" s="130"/>
      <c r="B170" s="131">
        <f>DATE(2018,2,1)</f>
        <v>43132</v>
      </c>
      <c r="C170" s="204">
        <v>15666403</v>
      </c>
      <c r="D170" s="204">
        <v>2392361.25</v>
      </c>
      <c r="E170" s="204">
        <v>2697136.5</v>
      </c>
      <c r="F170" s="132">
        <f t="shared" si="22"/>
        <v>-0.11299956453816853</v>
      </c>
      <c r="G170" s="215">
        <f t="shared" si="23"/>
        <v>0.15270647959202888</v>
      </c>
      <c r="H170" s="123"/>
    </row>
    <row r="171" spans="1:8" ht="15.75">
      <c r="A171" s="130"/>
      <c r="B171" s="131">
        <f>DATE(2018,3,1)</f>
        <v>43160</v>
      </c>
      <c r="C171" s="204">
        <v>17915704</v>
      </c>
      <c r="D171" s="204">
        <v>3826628.2</v>
      </c>
      <c r="E171" s="204">
        <v>3818986.1</v>
      </c>
      <c r="F171" s="132">
        <f t="shared" si="22"/>
        <v>0.0020010808627976134</v>
      </c>
      <c r="G171" s="215">
        <f t="shared" si="23"/>
        <v>0.2135907246514008</v>
      </c>
      <c r="H171" s="123"/>
    </row>
    <row r="172" spans="1:8" ht="15.75">
      <c r="A172" s="130"/>
      <c r="B172" s="131">
        <f>DATE(2018,4,1)</f>
        <v>43191</v>
      </c>
      <c r="C172" s="204">
        <v>18468351</v>
      </c>
      <c r="D172" s="204">
        <v>3175407.88</v>
      </c>
      <c r="E172" s="204">
        <v>2576074</v>
      </c>
      <c r="F172" s="132">
        <f t="shared" si="22"/>
        <v>0.2326539843187734</v>
      </c>
      <c r="G172" s="215">
        <f t="shared" si="23"/>
        <v>0.17193781296446012</v>
      </c>
      <c r="H172" s="123"/>
    </row>
    <row r="173" spans="1:8" ht="15.75">
      <c r="A173" s="130"/>
      <c r="B173" s="131">
        <f>DATE(2018,5,1)</f>
        <v>43221</v>
      </c>
      <c r="C173" s="204">
        <v>16303114</v>
      </c>
      <c r="D173" s="204">
        <v>2999661.17</v>
      </c>
      <c r="E173" s="204">
        <v>2897788.5</v>
      </c>
      <c r="F173" s="132">
        <f t="shared" si="22"/>
        <v>0.03515531585552221</v>
      </c>
      <c r="G173" s="215">
        <f t="shared" si="23"/>
        <v>0.18399314204635997</v>
      </c>
      <c r="H173" s="123"/>
    </row>
    <row r="174" spans="1:8" ht="15.75" thickBot="1">
      <c r="A174" s="133"/>
      <c r="B174" s="134"/>
      <c r="C174" s="204"/>
      <c r="D174" s="204"/>
      <c r="E174" s="204"/>
      <c r="F174" s="132"/>
      <c r="G174" s="215"/>
      <c r="H174" s="123"/>
    </row>
    <row r="175" spans="1:8" ht="17.25" thickBot="1" thickTop="1">
      <c r="A175" s="141" t="s">
        <v>14</v>
      </c>
      <c r="B175" s="142"/>
      <c r="C175" s="206">
        <f>SUM(C163:C174)</f>
        <v>180054742.5</v>
      </c>
      <c r="D175" s="207">
        <f>SUM(D163:D174)</f>
        <v>35288214.94</v>
      </c>
      <c r="E175" s="206">
        <f>SUM(E163:E174)</f>
        <v>32830236.900000002</v>
      </c>
      <c r="F175" s="143">
        <f>(+D175-E175)/E175</f>
        <v>0.07486933607841237</v>
      </c>
      <c r="G175" s="217">
        <f>D175/C175</f>
        <v>0.19598603430287317</v>
      </c>
      <c r="H175" s="123"/>
    </row>
    <row r="176" spans="1:8" ht="15.75" customHeight="1" thickTop="1">
      <c r="A176" s="130"/>
      <c r="B176" s="134"/>
      <c r="C176" s="204"/>
      <c r="D176" s="204"/>
      <c r="E176" s="204"/>
      <c r="F176" s="132"/>
      <c r="G176" s="218"/>
      <c r="H176" s="123"/>
    </row>
    <row r="177" spans="1:8" ht="15.75">
      <c r="A177" s="130" t="s">
        <v>64</v>
      </c>
      <c r="B177" s="131">
        <f>DATE(2017,7,1)</f>
        <v>42917</v>
      </c>
      <c r="C177" s="204">
        <v>829717</v>
      </c>
      <c r="D177" s="204">
        <v>283672</v>
      </c>
      <c r="E177" s="204">
        <v>188854</v>
      </c>
      <c r="F177" s="132">
        <f aca="true" t="shared" si="24" ref="F177:F187">(+D177-E177)/E177</f>
        <v>0.5020703824118102</v>
      </c>
      <c r="G177" s="215">
        <f aca="true" t="shared" si="25" ref="G177:G187">D177/C177</f>
        <v>0.341890066130982</v>
      </c>
      <c r="H177" s="123"/>
    </row>
    <row r="178" spans="1:8" ht="15.75">
      <c r="A178" s="130"/>
      <c r="B178" s="131">
        <f>DATE(2017,8,1)</f>
        <v>42948</v>
      </c>
      <c r="C178" s="204">
        <v>771356</v>
      </c>
      <c r="D178" s="204">
        <v>213515</v>
      </c>
      <c r="E178" s="204">
        <v>216171</v>
      </c>
      <c r="F178" s="132">
        <f t="shared" si="24"/>
        <v>-0.012286569428831804</v>
      </c>
      <c r="G178" s="215">
        <f t="shared" si="25"/>
        <v>0.27680474385368103</v>
      </c>
      <c r="H178" s="123"/>
    </row>
    <row r="179" spans="1:8" ht="15.75">
      <c r="A179" s="130"/>
      <c r="B179" s="131">
        <f>DATE(2017,9,1)</f>
        <v>42979</v>
      </c>
      <c r="C179" s="204">
        <v>789203</v>
      </c>
      <c r="D179" s="204">
        <v>213772.5</v>
      </c>
      <c r="E179" s="204">
        <v>216945.5</v>
      </c>
      <c r="F179" s="132">
        <f t="shared" si="24"/>
        <v>-0.014625793113938754</v>
      </c>
      <c r="G179" s="215">
        <f t="shared" si="25"/>
        <v>0.27087137276467527</v>
      </c>
      <c r="H179" s="123"/>
    </row>
    <row r="180" spans="1:8" ht="15.75">
      <c r="A180" s="130"/>
      <c r="B180" s="131">
        <f>DATE(2017,10,1)</f>
        <v>43009</v>
      </c>
      <c r="C180" s="204">
        <v>704934</v>
      </c>
      <c r="D180" s="204">
        <v>244828.5</v>
      </c>
      <c r="E180" s="204">
        <v>242110</v>
      </c>
      <c r="F180" s="132">
        <f t="shared" si="24"/>
        <v>0.01122836727107513</v>
      </c>
      <c r="G180" s="215">
        <f t="shared" si="25"/>
        <v>0.34730698193022325</v>
      </c>
      <c r="H180" s="123"/>
    </row>
    <row r="181" spans="1:8" ht="15.75">
      <c r="A181" s="130"/>
      <c r="B181" s="131">
        <f>DATE(2017,11,1)</f>
        <v>43040</v>
      </c>
      <c r="C181" s="204">
        <v>788141</v>
      </c>
      <c r="D181" s="204">
        <v>214514.5</v>
      </c>
      <c r="E181" s="204">
        <v>207292.5</v>
      </c>
      <c r="F181" s="132">
        <f t="shared" si="24"/>
        <v>0.03483965893604448</v>
      </c>
      <c r="G181" s="215">
        <f t="shared" si="25"/>
        <v>0.2721778209736583</v>
      </c>
      <c r="H181" s="123"/>
    </row>
    <row r="182" spans="1:8" ht="15.75">
      <c r="A182" s="130"/>
      <c r="B182" s="131">
        <f>DATE(2017,12,1)</f>
        <v>43070</v>
      </c>
      <c r="C182" s="204">
        <v>804570</v>
      </c>
      <c r="D182" s="204">
        <v>251086</v>
      </c>
      <c r="E182" s="204">
        <v>269196.5</v>
      </c>
      <c r="F182" s="132">
        <f t="shared" si="24"/>
        <v>-0.06727613471943357</v>
      </c>
      <c r="G182" s="215">
        <f t="shared" si="25"/>
        <v>0.31207477286003704</v>
      </c>
      <c r="H182" s="123"/>
    </row>
    <row r="183" spans="1:8" ht="15.75">
      <c r="A183" s="130"/>
      <c r="B183" s="131">
        <f>DATE(2018,1,1)</f>
        <v>43101</v>
      </c>
      <c r="C183" s="204">
        <v>695465</v>
      </c>
      <c r="D183" s="204">
        <v>161802.5</v>
      </c>
      <c r="E183" s="204">
        <v>196525</v>
      </c>
      <c r="F183" s="132">
        <f t="shared" si="24"/>
        <v>-0.1766823559343595</v>
      </c>
      <c r="G183" s="215">
        <f t="shared" si="25"/>
        <v>0.2326536921340398</v>
      </c>
      <c r="H183" s="123"/>
    </row>
    <row r="184" spans="1:8" ht="15.75">
      <c r="A184" s="130"/>
      <c r="B184" s="131">
        <f>DATE(2018,2,1)</f>
        <v>43132</v>
      </c>
      <c r="C184" s="204">
        <v>679361</v>
      </c>
      <c r="D184" s="204">
        <v>227252.5</v>
      </c>
      <c r="E184" s="204">
        <v>215365.5</v>
      </c>
      <c r="F184" s="132">
        <f t="shared" si="24"/>
        <v>0.055194541372689684</v>
      </c>
      <c r="G184" s="215">
        <f t="shared" si="25"/>
        <v>0.3345091931977255</v>
      </c>
      <c r="H184" s="123"/>
    </row>
    <row r="185" spans="1:8" ht="15.75">
      <c r="A185" s="130"/>
      <c r="B185" s="131">
        <f>DATE(2018,3,1)</f>
        <v>43160</v>
      </c>
      <c r="C185" s="204">
        <v>873129</v>
      </c>
      <c r="D185" s="204">
        <v>241108.5</v>
      </c>
      <c r="E185" s="204">
        <v>293319.5</v>
      </c>
      <c r="F185" s="132">
        <f t="shared" si="24"/>
        <v>-0.17800043979346752</v>
      </c>
      <c r="G185" s="215">
        <f t="shared" si="25"/>
        <v>0.2761430441549874</v>
      </c>
      <c r="H185" s="123"/>
    </row>
    <row r="186" spans="1:8" ht="15.75">
      <c r="A186" s="130"/>
      <c r="B186" s="131">
        <f>DATE(2018,4,1)</f>
        <v>43191</v>
      </c>
      <c r="C186" s="204">
        <v>813612</v>
      </c>
      <c r="D186" s="204">
        <v>268633</v>
      </c>
      <c r="E186" s="204">
        <v>234373.5</v>
      </c>
      <c r="F186" s="132">
        <f t="shared" si="24"/>
        <v>0.14617480218540066</v>
      </c>
      <c r="G186" s="215">
        <f t="shared" si="25"/>
        <v>0.3301733504422255</v>
      </c>
      <c r="H186" s="123"/>
    </row>
    <row r="187" spans="1:8" ht="15.75">
      <c r="A187" s="130"/>
      <c r="B187" s="131">
        <f>DATE(2018,5,1)</f>
        <v>43221</v>
      </c>
      <c r="C187" s="204">
        <v>728819</v>
      </c>
      <c r="D187" s="204">
        <v>193846.5</v>
      </c>
      <c r="E187" s="204">
        <v>234143</v>
      </c>
      <c r="F187" s="132">
        <f t="shared" si="24"/>
        <v>-0.17210209145693017</v>
      </c>
      <c r="G187" s="215">
        <f t="shared" si="25"/>
        <v>0.2659734447098662</v>
      </c>
      <c r="H187" s="123"/>
    </row>
    <row r="188" spans="1:8" ht="15.75" thickBot="1">
      <c r="A188" s="133"/>
      <c r="B188" s="134"/>
      <c r="C188" s="204"/>
      <c r="D188" s="204"/>
      <c r="E188" s="204"/>
      <c r="F188" s="132"/>
      <c r="G188" s="215"/>
      <c r="H188" s="123"/>
    </row>
    <row r="189" spans="1:8" ht="17.25" thickBot="1" thickTop="1">
      <c r="A189" s="135" t="s">
        <v>14</v>
      </c>
      <c r="B189" s="136"/>
      <c r="C189" s="201">
        <f>SUM(C177:C188)</f>
        <v>8478307</v>
      </c>
      <c r="D189" s="207">
        <f>SUM(D177:D188)</f>
        <v>2514031.5</v>
      </c>
      <c r="E189" s="207">
        <f>SUM(E177:E188)</f>
        <v>2514296</v>
      </c>
      <c r="F189" s="143">
        <f>(+D189-E189)/E189</f>
        <v>-0.00010519843327913659</v>
      </c>
      <c r="G189" s="217">
        <f>D189/C189</f>
        <v>0.2965251789065907</v>
      </c>
      <c r="H189" s="123"/>
    </row>
    <row r="190" spans="1:8" ht="16.5" thickBot="1" thickTop="1">
      <c r="A190" s="146"/>
      <c r="B190" s="139"/>
      <c r="C190" s="205"/>
      <c r="D190" s="205"/>
      <c r="E190" s="205"/>
      <c r="F190" s="140"/>
      <c r="G190" s="216"/>
      <c r="H190" s="123"/>
    </row>
    <row r="191" spans="1:8" ht="17.25" thickBot="1" thickTop="1">
      <c r="A191" s="147" t="s">
        <v>41</v>
      </c>
      <c r="B191" s="121"/>
      <c r="C191" s="201">
        <f>C189+C175+C133+C105+C77+C49+C21+C63+C161+C35+C119+C147+C91</f>
        <v>1119801024.76</v>
      </c>
      <c r="D191" s="201">
        <f>D189+D175+D133+D105+D77+D49+D21+D63+D161+D35+D119+D147+D91</f>
        <v>227435903.57999998</v>
      </c>
      <c r="E191" s="201">
        <f>E189+E175+E133+E105+E77+E49+E21+E63+E161+E35+E119+E147+E91</f>
        <v>222891293.16</v>
      </c>
      <c r="F191" s="137">
        <f>(+D191-E191)/E191</f>
        <v>0.02038935821839254</v>
      </c>
      <c r="G191" s="212">
        <f>D191/C191</f>
        <v>0.2031038537661143</v>
      </c>
      <c r="H191" s="123"/>
    </row>
    <row r="192" spans="1:8" ht="17.25" thickBot="1" thickTop="1">
      <c r="A192" s="147"/>
      <c r="B192" s="121"/>
      <c r="C192" s="201"/>
      <c r="D192" s="201"/>
      <c r="E192" s="201"/>
      <c r="F192" s="137"/>
      <c r="G192" s="212"/>
      <c r="H192" s="123"/>
    </row>
    <row r="193" spans="1:8" ht="17.25" thickBot="1" thickTop="1">
      <c r="A193" s="265" t="s">
        <v>42</v>
      </c>
      <c r="B193" s="266"/>
      <c r="C193" s="206">
        <f>+C19+C33+C47+C61+C75+C89+C103+C117+C131+C145+C159+C173+C187</f>
        <v>104451463</v>
      </c>
      <c r="D193" s="206">
        <f>+D19+D33+D47+D61+D75+D89+D103+D117+D131+D145+D159+D173+D187</f>
        <v>19650604.89</v>
      </c>
      <c r="E193" s="206">
        <f>+E19+E33+E47+E61+E75+E89+E103+E117+E131+E145+E159+E173+E187</f>
        <v>19225932.36</v>
      </c>
      <c r="F193" s="143">
        <f>(+D193-E193)/E193</f>
        <v>0.022088527206282193</v>
      </c>
      <c r="G193" s="217">
        <f>D193/C193</f>
        <v>0.18813144713923252</v>
      </c>
      <c r="H193" s="123"/>
    </row>
    <row r="194" spans="1:8" ht="16.5" thickTop="1">
      <c r="A194" s="256"/>
      <c r="B194" s="258"/>
      <c r="C194" s="259"/>
      <c r="D194" s="259"/>
      <c r="E194" s="259"/>
      <c r="F194" s="260"/>
      <c r="G194" s="257"/>
      <c r="H194" s="257"/>
    </row>
    <row r="195" spans="1:7" ht="18.75">
      <c r="A195" s="263" t="s">
        <v>43</v>
      </c>
      <c r="B195" s="117"/>
      <c r="C195" s="208"/>
      <c r="D195" s="208"/>
      <c r="E195" s="208"/>
      <c r="F195" s="148"/>
      <c r="G195" s="220"/>
    </row>
    <row r="196" ht="15.75">
      <c r="A196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6" r:id="rId1"/>
  <rowBreaks count="4" manualBreakCount="4">
    <brk id="49" max="7" man="1"/>
    <brk id="91" max="7" man="1"/>
    <brk id="133" max="7" man="1"/>
    <brk id="17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8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DATE(17,7,1)</f>
        <v>6392</v>
      </c>
      <c r="C10" s="226">
        <v>128003135.76</v>
      </c>
      <c r="D10" s="226">
        <v>12399693.56</v>
      </c>
      <c r="E10" s="226">
        <v>12760668.01</v>
      </c>
      <c r="F10" s="166">
        <f aca="true" t="shared" si="0" ref="F10:F20">(+D10-E10)/E10</f>
        <v>-0.02828805276629082</v>
      </c>
      <c r="G10" s="241">
        <f aca="true" t="shared" si="1" ref="G10:G20">D10/C10</f>
        <v>0.09687023279842813</v>
      </c>
      <c r="H10" s="242">
        <f aca="true" t="shared" si="2" ref="H10:H20">1-G10</f>
        <v>0.9031297672015719</v>
      </c>
      <c r="I10" s="157"/>
    </row>
    <row r="11" spans="1:9" ht="15.75">
      <c r="A11" s="164"/>
      <c r="B11" s="165">
        <f>DATE(17,8,1)</f>
        <v>6423</v>
      </c>
      <c r="C11" s="226">
        <v>116499333.1</v>
      </c>
      <c r="D11" s="226">
        <v>11441719.54</v>
      </c>
      <c r="E11" s="226">
        <v>11027150.02</v>
      </c>
      <c r="F11" s="166">
        <f t="shared" si="0"/>
        <v>0.03759534596410611</v>
      </c>
      <c r="G11" s="241">
        <f t="shared" si="1"/>
        <v>0.09821274710799181</v>
      </c>
      <c r="H11" s="242">
        <f t="shared" si="2"/>
        <v>0.9017872528920082</v>
      </c>
      <c r="I11" s="157"/>
    </row>
    <row r="12" spans="1:9" ht="15.75">
      <c r="A12" s="164"/>
      <c r="B12" s="165">
        <f>DATE(17,9,1)</f>
        <v>6454</v>
      </c>
      <c r="C12" s="226">
        <v>121499196.15</v>
      </c>
      <c r="D12" s="226">
        <v>11813160.59</v>
      </c>
      <c r="E12" s="226">
        <v>11131300.2</v>
      </c>
      <c r="F12" s="166">
        <f t="shared" si="0"/>
        <v>0.06125613160626111</v>
      </c>
      <c r="G12" s="241">
        <f t="shared" si="1"/>
        <v>0.09722830244420509</v>
      </c>
      <c r="H12" s="242">
        <f t="shared" si="2"/>
        <v>0.9027716975557949</v>
      </c>
      <c r="I12" s="157"/>
    </row>
    <row r="13" spans="1:9" ht="15.75">
      <c r="A13" s="164"/>
      <c r="B13" s="165">
        <f>DATE(17,10,1)</f>
        <v>6484</v>
      </c>
      <c r="C13" s="226">
        <v>115537297.52</v>
      </c>
      <c r="D13" s="226">
        <v>11558139.69</v>
      </c>
      <c r="E13" s="226">
        <v>11426198.17</v>
      </c>
      <c r="F13" s="166">
        <f t="shared" si="0"/>
        <v>0.011547280909797099</v>
      </c>
      <c r="G13" s="241">
        <f t="shared" si="1"/>
        <v>0.10003816895578016</v>
      </c>
      <c r="H13" s="242">
        <f t="shared" si="2"/>
        <v>0.8999618310442199</v>
      </c>
      <c r="I13" s="157"/>
    </row>
    <row r="14" spans="1:9" ht="15.75">
      <c r="A14" s="164"/>
      <c r="B14" s="165">
        <f>DATE(17,11,1)</f>
        <v>6515</v>
      </c>
      <c r="C14" s="226">
        <v>117762640.69</v>
      </c>
      <c r="D14" s="226">
        <v>11896579.67</v>
      </c>
      <c r="E14" s="226">
        <v>10749508.49</v>
      </c>
      <c r="F14" s="166">
        <f t="shared" si="0"/>
        <v>0.106709174755952</v>
      </c>
      <c r="G14" s="241">
        <f t="shared" si="1"/>
        <v>0.1010216788643244</v>
      </c>
      <c r="H14" s="242">
        <f t="shared" si="2"/>
        <v>0.8989783211356757</v>
      </c>
      <c r="I14" s="157"/>
    </row>
    <row r="15" spans="1:9" ht="15.75">
      <c r="A15" s="164"/>
      <c r="B15" s="165">
        <f>DATE(17,12,1)</f>
        <v>6545</v>
      </c>
      <c r="C15" s="226">
        <v>126025437.3</v>
      </c>
      <c r="D15" s="226">
        <v>12607302.66</v>
      </c>
      <c r="E15" s="226">
        <v>11313199.5</v>
      </c>
      <c r="F15" s="166">
        <f t="shared" si="0"/>
        <v>0.11438878630223043</v>
      </c>
      <c r="G15" s="241">
        <f t="shared" si="1"/>
        <v>0.10003776166226404</v>
      </c>
      <c r="H15" s="242">
        <f t="shared" si="2"/>
        <v>0.8999622383377359</v>
      </c>
      <c r="I15" s="157"/>
    </row>
    <row r="16" spans="1:9" ht="15.75">
      <c r="A16" s="164"/>
      <c r="B16" s="165">
        <f>DATE(18,1,1)</f>
        <v>6576</v>
      </c>
      <c r="C16" s="226">
        <v>108661277.61</v>
      </c>
      <c r="D16" s="226">
        <v>10938098.37</v>
      </c>
      <c r="E16" s="226">
        <v>10406173.64</v>
      </c>
      <c r="F16" s="166">
        <f t="shared" si="0"/>
        <v>0.051116265055903734</v>
      </c>
      <c r="G16" s="241">
        <f t="shared" si="1"/>
        <v>0.10066233906487196</v>
      </c>
      <c r="H16" s="242">
        <f t="shared" si="2"/>
        <v>0.899337660935128</v>
      </c>
      <c r="I16" s="157"/>
    </row>
    <row r="17" spans="1:9" ht="15.75">
      <c r="A17" s="164"/>
      <c r="B17" s="165">
        <f>DATE(18,2,1)</f>
        <v>6607</v>
      </c>
      <c r="C17" s="226">
        <v>114658636.42</v>
      </c>
      <c r="D17" s="226">
        <v>11694255.24</v>
      </c>
      <c r="E17" s="226">
        <v>11259350.59</v>
      </c>
      <c r="F17" s="166">
        <f t="shared" si="0"/>
        <v>0.03862608651570555</v>
      </c>
      <c r="G17" s="241">
        <f t="shared" si="1"/>
        <v>0.10199192668891849</v>
      </c>
      <c r="H17" s="242">
        <f t="shared" si="2"/>
        <v>0.8980080733110816</v>
      </c>
      <c r="I17" s="157"/>
    </row>
    <row r="18" spans="1:9" ht="15.75">
      <c r="A18" s="164"/>
      <c r="B18" s="165">
        <f>DATE(18,3,1)</f>
        <v>6635</v>
      </c>
      <c r="C18" s="226">
        <v>134119117.52</v>
      </c>
      <c r="D18" s="226">
        <v>13457679.79</v>
      </c>
      <c r="E18" s="226">
        <v>12688511.37</v>
      </c>
      <c r="F18" s="166">
        <f t="shared" si="0"/>
        <v>0.06061927972248804</v>
      </c>
      <c r="G18" s="241">
        <f t="shared" si="1"/>
        <v>0.10034124917346832</v>
      </c>
      <c r="H18" s="242">
        <f t="shared" si="2"/>
        <v>0.8996587508265317</v>
      </c>
      <c r="I18" s="157"/>
    </row>
    <row r="19" spans="1:9" ht="15.75">
      <c r="A19" s="164"/>
      <c r="B19" s="165">
        <f>DATE(18,4,1)</f>
        <v>6666</v>
      </c>
      <c r="C19" s="226">
        <v>119165427.06</v>
      </c>
      <c r="D19" s="226">
        <v>11957394.03</v>
      </c>
      <c r="E19" s="226">
        <v>12172351.1</v>
      </c>
      <c r="F19" s="166">
        <f t="shared" si="0"/>
        <v>-0.017659453644908445</v>
      </c>
      <c r="G19" s="241">
        <f t="shared" si="1"/>
        <v>0.10034281187931655</v>
      </c>
      <c r="H19" s="242">
        <f t="shared" si="2"/>
        <v>0.8996571881206834</v>
      </c>
      <c r="I19" s="157"/>
    </row>
    <row r="20" spans="1:9" ht="15.75">
      <c r="A20" s="164"/>
      <c r="B20" s="165">
        <f>DATE(18,5,1)</f>
        <v>6696</v>
      </c>
      <c r="C20" s="226">
        <v>120227637.89</v>
      </c>
      <c r="D20" s="226">
        <v>11993236.17</v>
      </c>
      <c r="E20" s="226">
        <v>12020508.98</v>
      </c>
      <c r="F20" s="166">
        <f t="shared" si="0"/>
        <v>-0.002268856505608677</v>
      </c>
      <c r="G20" s="241">
        <f t="shared" si="1"/>
        <v>0.09975440240265707</v>
      </c>
      <c r="H20" s="242">
        <f t="shared" si="2"/>
        <v>0.9002455975973429</v>
      </c>
      <c r="I20" s="157"/>
    </row>
    <row r="21" spans="1:9" ht="15.75" thickBot="1">
      <c r="A21" s="167"/>
      <c r="B21" s="168"/>
      <c r="C21" s="226"/>
      <c r="D21" s="226"/>
      <c r="E21" s="226"/>
      <c r="F21" s="166"/>
      <c r="G21" s="241"/>
      <c r="H21" s="242"/>
      <c r="I21" s="157"/>
    </row>
    <row r="22" spans="1:9" ht="17.25" thickBot="1" thickTop="1">
      <c r="A22" s="169" t="s">
        <v>14</v>
      </c>
      <c r="B22" s="155"/>
      <c r="C22" s="223">
        <f>SUM(C10:C21)</f>
        <v>1322159137.02</v>
      </c>
      <c r="D22" s="223">
        <f>SUM(D10:D21)</f>
        <v>131757259.30999999</v>
      </c>
      <c r="E22" s="223">
        <f>SUM(E10:E21)</f>
        <v>126954920.07000002</v>
      </c>
      <c r="F22" s="170">
        <f>(+D22-E22)/E22</f>
        <v>0.03782712192132503</v>
      </c>
      <c r="G22" s="236">
        <f>D22/C22</f>
        <v>0.09965310197603462</v>
      </c>
      <c r="H22" s="237">
        <f>1-G22</f>
        <v>0.9003468980239654</v>
      </c>
      <c r="I22" s="157"/>
    </row>
    <row r="23" spans="1:9" ht="15.75" thickTop="1">
      <c r="A23" s="171"/>
      <c r="B23" s="172"/>
      <c r="C23" s="227"/>
      <c r="D23" s="227"/>
      <c r="E23" s="227"/>
      <c r="F23" s="173"/>
      <c r="G23" s="243"/>
      <c r="H23" s="244"/>
      <c r="I23" s="157"/>
    </row>
    <row r="24" spans="1:9" ht="15.75">
      <c r="A24" s="19" t="s">
        <v>51</v>
      </c>
      <c r="B24" s="165">
        <f>DATE(17,7,1)</f>
        <v>6392</v>
      </c>
      <c r="C24" s="226">
        <v>70369862.87</v>
      </c>
      <c r="D24" s="226">
        <v>6811001.46</v>
      </c>
      <c r="E24" s="226">
        <v>7099133.54</v>
      </c>
      <c r="F24" s="166">
        <f aca="true" t="shared" si="3" ref="F24:F34">(+D24-E24)/E24</f>
        <v>-0.040586936191089044</v>
      </c>
      <c r="G24" s="241">
        <f aca="true" t="shared" si="4" ref="G24:G34">D24/C24</f>
        <v>0.09678861350891815</v>
      </c>
      <c r="H24" s="242">
        <f aca="true" t="shared" si="5" ref="H24:H34">1-G24</f>
        <v>0.9032113864910818</v>
      </c>
      <c r="I24" s="157"/>
    </row>
    <row r="25" spans="1:9" ht="15.75">
      <c r="A25" s="19"/>
      <c r="B25" s="165">
        <f>DATE(17,8,1)</f>
        <v>6423</v>
      </c>
      <c r="C25" s="226">
        <v>64182696.16</v>
      </c>
      <c r="D25" s="226">
        <v>6396602.31</v>
      </c>
      <c r="E25" s="226">
        <v>6284127.36</v>
      </c>
      <c r="F25" s="166">
        <f t="shared" si="3"/>
        <v>0.017898260737987216</v>
      </c>
      <c r="G25" s="241">
        <f t="shared" si="4"/>
        <v>0.09966241203164812</v>
      </c>
      <c r="H25" s="242">
        <f t="shared" si="5"/>
        <v>0.9003375879683518</v>
      </c>
      <c r="I25" s="157"/>
    </row>
    <row r="26" spans="1:9" ht="15.75">
      <c r="A26" s="19"/>
      <c r="B26" s="165">
        <f>DATE(17,9,1)</f>
        <v>6454</v>
      </c>
      <c r="C26" s="226">
        <v>64033578.3</v>
      </c>
      <c r="D26" s="226">
        <v>6148408.09</v>
      </c>
      <c r="E26" s="226">
        <v>6426114.46</v>
      </c>
      <c r="F26" s="166">
        <f t="shared" si="3"/>
        <v>-0.04321528533744793</v>
      </c>
      <c r="G26" s="241">
        <f t="shared" si="4"/>
        <v>0.09601849925041593</v>
      </c>
      <c r="H26" s="242">
        <f t="shared" si="5"/>
        <v>0.903981500749584</v>
      </c>
      <c r="I26" s="157"/>
    </row>
    <row r="27" spans="1:9" ht="15.75">
      <c r="A27" s="19"/>
      <c r="B27" s="165">
        <f>DATE(17,10,1)</f>
        <v>6484</v>
      </c>
      <c r="C27" s="226">
        <v>61277642.92</v>
      </c>
      <c r="D27" s="226">
        <v>5734526.36</v>
      </c>
      <c r="E27" s="226">
        <v>6207514.07</v>
      </c>
      <c r="F27" s="166">
        <f t="shared" si="3"/>
        <v>-0.076195994832437</v>
      </c>
      <c r="G27" s="241">
        <f t="shared" si="4"/>
        <v>0.09358268508282237</v>
      </c>
      <c r="H27" s="242">
        <f t="shared" si="5"/>
        <v>0.9064173149171776</v>
      </c>
      <c r="I27" s="157"/>
    </row>
    <row r="28" spans="1:9" ht="15.75">
      <c r="A28" s="19"/>
      <c r="B28" s="165">
        <f>DATE(17,11,1)</f>
        <v>6515</v>
      </c>
      <c r="C28" s="226">
        <v>59095734.31</v>
      </c>
      <c r="D28" s="226">
        <v>5714351.85</v>
      </c>
      <c r="E28" s="226">
        <v>5938873.2</v>
      </c>
      <c r="F28" s="166">
        <f t="shared" si="3"/>
        <v>-0.03780537863647275</v>
      </c>
      <c r="G28" s="241">
        <f t="shared" si="4"/>
        <v>0.09669651992179466</v>
      </c>
      <c r="H28" s="242">
        <f t="shared" si="5"/>
        <v>0.9033034800782054</v>
      </c>
      <c r="I28" s="157"/>
    </row>
    <row r="29" spans="1:9" ht="15.75">
      <c r="A29" s="19"/>
      <c r="B29" s="165">
        <f>DATE(17,12,1)</f>
        <v>6545</v>
      </c>
      <c r="C29" s="226">
        <v>61263567.67</v>
      </c>
      <c r="D29" s="226">
        <v>5911955.46</v>
      </c>
      <c r="E29" s="226">
        <v>5697753.86</v>
      </c>
      <c r="F29" s="166">
        <f t="shared" si="3"/>
        <v>0.03759404236531896</v>
      </c>
      <c r="G29" s="241">
        <f t="shared" si="4"/>
        <v>0.09650034571680699</v>
      </c>
      <c r="H29" s="242">
        <f t="shared" si="5"/>
        <v>0.903499654283193</v>
      </c>
      <c r="I29" s="157"/>
    </row>
    <row r="30" spans="1:9" ht="15.75">
      <c r="A30" s="19"/>
      <c r="B30" s="165">
        <f>DATE(18,1,1)</f>
        <v>6576</v>
      </c>
      <c r="C30" s="226">
        <v>55782704.19</v>
      </c>
      <c r="D30" s="226">
        <v>5394556.31</v>
      </c>
      <c r="E30" s="226">
        <v>5520952.81</v>
      </c>
      <c r="F30" s="166">
        <f t="shared" si="3"/>
        <v>-0.022893964927767605</v>
      </c>
      <c r="G30" s="241">
        <f t="shared" si="4"/>
        <v>0.09670661163406033</v>
      </c>
      <c r="H30" s="242">
        <f t="shared" si="5"/>
        <v>0.9032933883659396</v>
      </c>
      <c r="I30" s="157"/>
    </row>
    <row r="31" spans="1:9" ht="15.75">
      <c r="A31" s="19"/>
      <c r="B31" s="165">
        <f>DATE(18,2,1)</f>
        <v>6607</v>
      </c>
      <c r="C31" s="226">
        <v>60594616.72</v>
      </c>
      <c r="D31" s="226">
        <v>5898754.5</v>
      </c>
      <c r="E31" s="226">
        <v>6183680.21</v>
      </c>
      <c r="F31" s="166">
        <f t="shared" si="3"/>
        <v>-0.046077044789481436</v>
      </c>
      <c r="G31" s="241">
        <f t="shared" si="4"/>
        <v>0.09734783086849766</v>
      </c>
      <c r="H31" s="242">
        <f t="shared" si="5"/>
        <v>0.9026521691315024</v>
      </c>
      <c r="I31" s="157"/>
    </row>
    <row r="32" spans="1:9" ht="15.75">
      <c r="A32" s="19"/>
      <c r="B32" s="165">
        <f>DATE(18,3,1)</f>
        <v>6635</v>
      </c>
      <c r="C32" s="226">
        <v>71608686.13</v>
      </c>
      <c r="D32" s="226">
        <v>7025004.26</v>
      </c>
      <c r="E32" s="226">
        <v>6935456.98</v>
      </c>
      <c r="F32" s="166">
        <f t="shared" si="3"/>
        <v>0.01291151834092976</v>
      </c>
      <c r="G32" s="241">
        <f t="shared" si="4"/>
        <v>0.09810268334272537</v>
      </c>
      <c r="H32" s="242">
        <f t="shared" si="5"/>
        <v>0.9018973166572746</v>
      </c>
      <c r="I32" s="157"/>
    </row>
    <row r="33" spans="1:9" ht="15.75">
      <c r="A33" s="19"/>
      <c r="B33" s="165">
        <f>DATE(18,4,1)</f>
        <v>6666</v>
      </c>
      <c r="C33" s="226">
        <v>63523366.77</v>
      </c>
      <c r="D33" s="226">
        <v>6287577.55</v>
      </c>
      <c r="E33" s="226">
        <v>6555458.69</v>
      </c>
      <c r="F33" s="166">
        <f t="shared" si="3"/>
        <v>-0.04086382855384916</v>
      </c>
      <c r="G33" s="241">
        <f t="shared" si="4"/>
        <v>0.0989805463675363</v>
      </c>
      <c r="H33" s="242">
        <f t="shared" si="5"/>
        <v>0.9010194536324637</v>
      </c>
      <c r="I33" s="157"/>
    </row>
    <row r="34" spans="1:9" ht="15.75">
      <c r="A34" s="19"/>
      <c r="B34" s="165">
        <f>DATE(18,5,1)</f>
        <v>6696</v>
      </c>
      <c r="C34" s="226">
        <v>60177094.62</v>
      </c>
      <c r="D34" s="226">
        <v>6041238.32</v>
      </c>
      <c r="E34" s="226">
        <v>6467054.83</v>
      </c>
      <c r="F34" s="166">
        <f t="shared" si="3"/>
        <v>-0.0658439616167596</v>
      </c>
      <c r="G34" s="241">
        <f t="shared" si="4"/>
        <v>0.10039099358565877</v>
      </c>
      <c r="H34" s="242">
        <f t="shared" si="5"/>
        <v>0.8996090064143413</v>
      </c>
      <c r="I34" s="157"/>
    </row>
    <row r="35" spans="1:9" ht="15.75" thickBot="1">
      <c r="A35" s="167"/>
      <c r="B35" s="165"/>
      <c r="C35" s="226"/>
      <c r="D35" s="226"/>
      <c r="E35" s="226"/>
      <c r="F35" s="166"/>
      <c r="G35" s="241"/>
      <c r="H35" s="242"/>
      <c r="I35" s="157"/>
    </row>
    <row r="36" spans="1:9" ht="17.25" thickBot="1" thickTop="1">
      <c r="A36" s="169" t="s">
        <v>14</v>
      </c>
      <c r="B36" s="155"/>
      <c r="C36" s="223">
        <f>SUM(C24:C35)</f>
        <v>691909550.66</v>
      </c>
      <c r="D36" s="223">
        <f>SUM(D24:D35)</f>
        <v>67363976.47</v>
      </c>
      <c r="E36" s="223">
        <f>SUM(E24:E35)</f>
        <v>69316120.01</v>
      </c>
      <c r="F36" s="170">
        <f>(+D36-E36)/E36</f>
        <v>-0.028162908421855946</v>
      </c>
      <c r="G36" s="236">
        <f>D36/C36</f>
        <v>0.09735951238965082</v>
      </c>
      <c r="H36" s="237">
        <f>1-G36</f>
        <v>0.9026404876103492</v>
      </c>
      <c r="I36" s="157"/>
    </row>
    <row r="37" spans="1:9" ht="15.75" thickTop="1">
      <c r="A37" s="171"/>
      <c r="B37" s="172"/>
      <c r="C37" s="227"/>
      <c r="D37" s="227"/>
      <c r="E37" s="227"/>
      <c r="F37" s="173"/>
      <c r="G37" s="243"/>
      <c r="H37" s="244"/>
      <c r="I37" s="157"/>
    </row>
    <row r="38" spans="1:9" ht="15.75">
      <c r="A38" s="19" t="s">
        <v>60</v>
      </c>
      <c r="B38" s="165">
        <f>DATE(17,7,1)</f>
        <v>6392</v>
      </c>
      <c r="C38" s="226">
        <v>27686533.48</v>
      </c>
      <c r="D38" s="226">
        <v>2951015.74</v>
      </c>
      <c r="E38" s="226">
        <v>3021071.12</v>
      </c>
      <c r="F38" s="166">
        <f aca="true" t="shared" si="6" ref="F38:F48">(+D38-E38)/E38</f>
        <v>-0.0231889211532365</v>
      </c>
      <c r="G38" s="241">
        <f aca="true" t="shared" si="7" ref="G38:G48">D38/C38</f>
        <v>0.10658668201028973</v>
      </c>
      <c r="H38" s="242">
        <f aca="true" t="shared" si="8" ref="H38:H48">1-G38</f>
        <v>0.8934133179897102</v>
      </c>
      <c r="I38" s="157"/>
    </row>
    <row r="39" spans="1:9" ht="15.75">
      <c r="A39" s="19"/>
      <c r="B39" s="165">
        <f>DATE(17,8,1)</f>
        <v>6423</v>
      </c>
      <c r="C39" s="226">
        <v>24319135.61</v>
      </c>
      <c r="D39" s="226">
        <v>2587760.59</v>
      </c>
      <c r="E39" s="226">
        <v>2616739.9</v>
      </c>
      <c r="F39" s="166">
        <f t="shared" si="6"/>
        <v>-0.011074585594082184</v>
      </c>
      <c r="G39" s="241">
        <f t="shared" si="7"/>
        <v>0.1064084115282418</v>
      </c>
      <c r="H39" s="242">
        <f t="shared" si="8"/>
        <v>0.8935915884717582</v>
      </c>
      <c r="I39" s="157"/>
    </row>
    <row r="40" spans="1:9" ht="15.75">
      <c r="A40" s="19"/>
      <c r="B40" s="165">
        <f>DATE(17,9,1)</f>
        <v>6454</v>
      </c>
      <c r="C40" s="226">
        <v>25776531.98</v>
      </c>
      <c r="D40" s="226">
        <v>2789987.56</v>
      </c>
      <c r="E40" s="226">
        <v>2834248.99</v>
      </c>
      <c r="F40" s="166">
        <f t="shared" si="6"/>
        <v>-0.015616634302831722</v>
      </c>
      <c r="G40" s="241">
        <f t="shared" si="7"/>
        <v>0.10823750697590934</v>
      </c>
      <c r="H40" s="242">
        <f t="shared" si="8"/>
        <v>0.8917624930240906</v>
      </c>
      <c r="I40" s="157"/>
    </row>
    <row r="41" spans="1:9" ht="15.75">
      <c r="A41" s="19"/>
      <c r="B41" s="165">
        <f>DATE(17,10,1)</f>
        <v>6484</v>
      </c>
      <c r="C41" s="226">
        <v>23361674.53</v>
      </c>
      <c r="D41" s="226">
        <v>2567921.26</v>
      </c>
      <c r="E41" s="226">
        <v>2635379.35</v>
      </c>
      <c r="F41" s="166">
        <f t="shared" si="6"/>
        <v>-0.025597108059604516</v>
      </c>
      <c r="G41" s="241">
        <f t="shared" si="7"/>
        <v>0.10992025664523286</v>
      </c>
      <c r="H41" s="242">
        <f t="shared" si="8"/>
        <v>0.8900797433547671</v>
      </c>
      <c r="I41" s="157"/>
    </row>
    <row r="42" spans="1:9" ht="15.75">
      <c r="A42" s="19"/>
      <c r="B42" s="165">
        <f>DATE(17,11,1)</f>
        <v>6515</v>
      </c>
      <c r="C42" s="226">
        <v>23308642.88</v>
      </c>
      <c r="D42" s="226">
        <v>2542392.68</v>
      </c>
      <c r="E42" s="226">
        <v>2593526.94</v>
      </c>
      <c r="F42" s="166">
        <f t="shared" si="6"/>
        <v>-0.01971610906035153</v>
      </c>
      <c r="G42" s="241">
        <f t="shared" si="7"/>
        <v>0.10907510544861032</v>
      </c>
      <c r="H42" s="242">
        <f t="shared" si="8"/>
        <v>0.8909248945513897</v>
      </c>
      <c r="I42" s="157"/>
    </row>
    <row r="43" spans="1:9" ht="15.75">
      <c r="A43" s="19"/>
      <c r="B43" s="165">
        <f>DATE(17,12,1)</f>
        <v>6545</v>
      </c>
      <c r="C43" s="226">
        <v>25602184.28</v>
      </c>
      <c r="D43" s="226">
        <v>2721371.75</v>
      </c>
      <c r="E43" s="226">
        <v>2726550.79</v>
      </c>
      <c r="F43" s="166">
        <f t="shared" si="6"/>
        <v>-0.001899484146414906</v>
      </c>
      <c r="G43" s="241">
        <f t="shared" si="7"/>
        <v>0.1062945145710044</v>
      </c>
      <c r="H43" s="242">
        <f t="shared" si="8"/>
        <v>0.8937054854289956</v>
      </c>
      <c r="I43" s="157"/>
    </row>
    <row r="44" spans="1:9" ht="15.75">
      <c r="A44" s="19"/>
      <c r="B44" s="165">
        <f>DATE(18,1,1)</f>
        <v>6576</v>
      </c>
      <c r="C44" s="226">
        <v>20094044.67</v>
      </c>
      <c r="D44" s="226">
        <v>2149317.95</v>
      </c>
      <c r="E44" s="226">
        <v>2435471.7</v>
      </c>
      <c r="F44" s="166">
        <f t="shared" si="6"/>
        <v>-0.11749417987488829</v>
      </c>
      <c r="G44" s="241">
        <f t="shared" si="7"/>
        <v>0.10696293281406347</v>
      </c>
      <c r="H44" s="242">
        <f t="shared" si="8"/>
        <v>0.8930370671859366</v>
      </c>
      <c r="I44" s="157"/>
    </row>
    <row r="45" spans="1:9" ht="15.75">
      <c r="A45" s="19"/>
      <c r="B45" s="165">
        <f>DATE(18,2,1)</f>
        <v>6607</v>
      </c>
      <c r="C45" s="226">
        <v>24478713.75</v>
      </c>
      <c r="D45" s="226">
        <v>2669700.18</v>
      </c>
      <c r="E45" s="226">
        <v>2976785.59</v>
      </c>
      <c r="F45" s="166">
        <f t="shared" si="6"/>
        <v>-0.10316007005395364</v>
      </c>
      <c r="G45" s="241">
        <f t="shared" si="7"/>
        <v>0.10906211034066282</v>
      </c>
      <c r="H45" s="242">
        <f t="shared" si="8"/>
        <v>0.8909378896593372</v>
      </c>
      <c r="I45" s="157"/>
    </row>
    <row r="46" spans="1:9" ht="15.75">
      <c r="A46" s="19"/>
      <c r="B46" s="165">
        <f>DATE(18,3,1)</f>
        <v>6635</v>
      </c>
      <c r="C46" s="226">
        <v>32274083.73</v>
      </c>
      <c r="D46" s="226">
        <v>3445390.71</v>
      </c>
      <c r="E46" s="226">
        <v>3208524</v>
      </c>
      <c r="F46" s="166">
        <f t="shared" si="6"/>
        <v>0.07382419766846063</v>
      </c>
      <c r="G46" s="241">
        <f t="shared" si="7"/>
        <v>0.10675409839125431</v>
      </c>
      <c r="H46" s="242">
        <f t="shared" si="8"/>
        <v>0.8932459016087457</v>
      </c>
      <c r="I46" s="157"/>
    </row>
    <row r="47" spans="1:9" ht="15.75">
      <c r="A47" s="19"/>
      <c r="B47" s="165">
        <f>DATE(18,4,1)</f>
        <v>6666</v>
      </c>
      <c r="C47" s="226">
        <v>26615681.67</v>
      </c>
      <c r="D47" s="226">
        <v>2783592.72</v>
      </c>
      <c r="E47" s="226">
        <v>2807922.43</v>
      </c>
      <c r="F47" s="166">
        <f t="shared" si="6"/>
        <v>-0.00866466599648907</v>
      </c>
      <c r="G47" s="241">
        <f t="shared" si="7"/>
        <v>0.10458468637072484</v>
      </c>
      <c r="H47" s="242">
        <f t="shared" si="8"/>
        <v>0.8954153136292752</v>
      </c>
      <c r="I47" s="157"/>
    </row>
    <row r="48" spans="1:9" ht="15.75">
      <c r="A48" s="19"/>
      <c r="B48" s="165">
        <f>DATE(18,5,1)</f>
        <v>6696</v>
      </c>
      <c r="C48" s="226">
        <v>26261820.21</v>
      </c>
      <c r="D48" s="226">
        <v>2802435.7</v>
      </c>
      <c r="E48" s="226">
        <v>2568004.43</v>
      </c>
      <c r="F48" s="166">
        <f t="shared" si="6"/>
        <v>0.09128927787714136</v>
      </c>
      <c r="G48" s="241">
        <f t="shared" si="7"/>
        <v>0.10671140376373782</v>
      </c>
      <c r="H48" s="242">
        <f t="shared" si="8"/>
        <v>0.8932885962362622</v>
      </c>
      <c r="I48" s="157"/>
    </row>
    <row r="49" spans="1:9" ht="15.75" thickBot="1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Bot="1" thickTop="1">
      <c r="A50" s="174" t="s">
        <v>14</v>
      </c>
      <c r="B50" s="175"/>
      <c r="C50" s="228">
        <f>SUM(C38:C49)</f>
        <v>279779046.78999996</v>
      </c>
      <c r="D50" s="228">
        <f>SUM(D38:D49)</f>
        <v>30010886.84</v>
      </c>
      <c r="E50" s="228">
        <f>SUM(E38:E49)</f>
        <v>30424225.24</v>
      </c>
      <c r="F50" s="176">
        <f>(+D50-E50)/E50</f>
        <v>-0.013585831577941557</v>
      </c>
      <c r="G50" s="245">
        <f>D50/C50</f>
        <v>0.10726638461430582</v>
      </c>
      <c r="H50" s="246">
        <f>1-G50</f>
        <v>0.8927336153856942</v>
      </c>
      <c r="I50" s="157"/>
    </row>
    <row r="51" spans="1:9" ht="15.75" thickTop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>
      <c r="A52" s="177" t="s">
        <v>65</v>
      </c>
      <c r="B52" s="165">
        <f>DATE(17,7,1)</f>
        <v>6392</v>
      </c>
      <c r="C52" s="226">
        <v>199002675.73</v>
      </c>
      <c r="D52" s="226">
        <v>17796071.33</v>
      </c>
      <c r="E52" s="226">
        <v>18141371.29</v>
      </c>
      <c r="F52" s="166">
        <f aca="true" t="shared" si="9" ref="F52:F62">(+D52-E52)/E52</f>
        <v>-0.019033840081887268</v>
      </c>
      <c r="G52" s="241">
        <f aca="true" t="shared" si="10" ref="G52:G62">D52/C52</f>
        <v>0.08942629170546983</v>
      </c>
      <c r="H52" s="242">
        <f aca="true" t="shared" si="11" ref="H52:H62">1-G52</f>
        <v>0.9105737082945302</v>
      </c>
      <c r="I52" s="157"/>
    </row>
    <row r="53" spans="1:9" ht="15.75">
      <c r="A53" s="177"/>
      <c r="B53" s="165">
        <f>DATE(17,8,1)</f>
        <v>6423</v>
      </c>
      <c r="C53" s="226">
        <v>185850095.92</v>
      </c>
      <c r="D53" s="226">
        <v>17013833.45</v>
      </c>
      <c r="E53" s="226">
        <v>17116248.3</v>
      </c>
      <c r="F53" s="166">
        <f t="shared" si="9"/>
        <v>-0.005983487047217087</v>
      </c>
      <c r="G53" s="241">
        <f t="shared" si="10"/>
        <v>0.0915460030611105</v>
      </c>
      <c r="H53" s="242">
        <f t="shared" si="11"/>
        <v>0.9084539969388895</v>
      </c>
      <c r="I53" s="157"/>
    </row>
    <row r="54" spans="1:9" ht="15.75">
      <c r="A54" s="177"/>
      <c r="B54" s="165">
        <f>DATE(17,9,1)</f>
        <v>6454</v>
      </c>
      <c r="C54" s="226">
        <v>179235333.71</v>
      </c>
      <c r="D54" s="226">
        <v>16916276.07</v>
      </c>
      <c r="E54" s="226">
        <v>17027821.25</v>
      </c>
      <c r="F54" s="166">
        <f t="shared" si="9"/>
        <v>-0.006550760567797228</v>
      </c>
      <c r="G54" s="241">
        <f t="shared" si="10"/>
        <v>0.09438025259779566</v>
      </c>
      <c r="H54" s="242">
        <f t="shared" si="11"/>
        <v>0.9056197474022043</v>
      </c>
      <c r="I54" s="157"/>
    </row>
    <row r="55" spans="1:9" ht="15.75">
      <c r="A55" s="177"/>
      <c r="B55" s="165">
        <f>DATE(17,10,1)</f>
        <v>6484</v>
      </c>
      <c r="C55" s="226">
        <v>168909872.18</v>
      </c>
      <c r="D55" s="226">
        <v>15553875.56</v>
      </c>
      <c r="E55" s="226">
        <v>16676556.04</v>
      </c>
      <c r="F55" s="166">
        <f t="shared" si="9"/>
        <v>-0.06732088311922217</v>
      </c>
      <c r="G55" s="241">
        <f t="shared" si="10"/>
        <v>0.09208387502315378</v>
      </c>
      <c r="H55" s="242">
        <f t="shared" si="11"/>
        <v>0.9079161249768463</v>
      </c>
      <c r="I55" s="157"/>
    </row>
    <row r="56" spans="1:9" ht="15.75">
      <c r="A56" s="177"/>
      <c r="B56" s="165">
        <f>DATE(17,11,1)</f>
        <v>6515</v>
      </c>
      <c r="C56" s="226">
        <v>169590449.53</v>
      </c>
      <c r="D56" s="226">
        <v>15514479.14</v>
      </c>
      <c r="E56" s="226">
        <v>15819308.66</v>
      </c>
      <c r="F56" s="166">
        <f t="shared" si="9"/>
        <v>-0.019269459023249096</v>
      </c>
      <c r="G56" s="241">
        <f t="shared" si="10"/>
        <v>0.09148203323357273</v>
      </c>
      <c r="H56" s="242">
        <f t="shared" si="11"/>
        <v>0.9085179667664273</v>
      </c>
      <c r="I56" s="157"/>
    </row>
    <row r="57" spans="1:9" ht="15.75">
      <c r="A57" s="177"/>
      <c r="B57" s="165">
        <f>DATE(17,12,1)</f>
        <v>6545</v>
      </c>
      <c r="C57" s="226">
        <v>184665329.47</v>
      </c>
      <c r="D57" s="226">
        <v>16895433.95</v>
      </c>
      <c r="E57" s="226">
        <v>16781327.96</v>
      </c>
      <c r="F57" s="166">
        <f t="shared" si="9"/>
        <v>0.006799580478492618</v>
      </c>
      <c r="G57" s="241">
        <f t="shared" si="10"/>
        <v>0.09149218209227934</v>
      </c>
      <c r="H57" s="242">
        <f t="shared" si="11"/>
        <v>0.9085078179077206</v>
      </c>
      <c r="I57" s="157"/>
    </row>
    <row r="58" spans="1:9" ht="15.75">
      <c r="A58" s="177"/>
      <c r="B58" s="165">
        <f>DATE(18,1,1)</f>
        <v>6576</v>
      </c>
      <c r="C58" s="226">
        <v>161174620.31</v>
      </c>
      <c r="D58" s="226">
        <v>14722625.03</v>
      </c>
      <c r="E58" s="226">
        <v>15501259.71</v>
      </c>
      <c r="F58" s="166">
        <f t="shared" si="9"/>
        <v>-0.05023041317717536</v>
      </c>
      <c r="G58" s="241">
        <f t="shared" si="10"/>
        <v>0.09134580246990996</v>
      </c>
      <c r="H58" s="242">
        <f t="shared" si="11"/>
        <v>0.90865419753009</v>
      </c>
      <c r="I58" s="157"/>
    </row>
    <row r="59" spans="1:9" ht="15.75">
      <c r="A59" s="177"/>
      <c r="B59" s="165">
        <f>DATE(18,2,1)</f>
        <v>6607</v>
      </c>
      <c r="C59" s="226">
        <v>170786992.94</v>
      </c>
      <c r="D59" s="226">
        <v>16321387.87</v>
      </c>
      <c r="E59" s="226">
        <v>16759542.91</v>
      </c>
      <c r="F59" s="166">
        <f t="shared" si="9"/>
        <v>-0.02614361515423937</v>
      </c>
      <c r="G59" s="241">
        <f t="shared" si="10"/>
        <v>0.0955657546809431</v>
      </c>
      <c r="H59" s="242">
        <f t="shared" si="11"/>
        <v>0.9044342453190569</v>
      </c>
      <c r="I59" s="157"/>
    </row>
    <row r="60" spans="1:9" ht="15.75">
      <c r="A60" s="177"/>
      <c r="B60" s="165">
        <f>DATE(18,3,1)</f>
        <v>6635</v>
      </c>
      <c r="C60" s="226">
        <v>205223366.66</v>
      </c>
      <c r="D60" s="226">
        <v>19040351.65</v>
      </c>
      <c r="E60" s="226">
        <v>19420673.92</v>
      </c>
      <c r="F60" s="166">
        <f t="shared" si="9"/>
        <v>-0.019583371388998804</v>
      </c>
      <c r="G60" s="241">
        <f t="shared" si="10"/>
        <v>0.09277867311057589</v>
      </c>
      <c r="H60" s="242">
        <f t="shared" si="11"/>
        <v>0.9072213268894241</v>
      </c>
      <c r="I60" s="157"/>
    </row>
    <row r="61" spans="1:9" ht="15.75">
      <c r="A61" s="177"/>
      <c r="B61" s="165">
        <f>DATE(18,4,1)</f>
        <v>6666</v>
      </c>
      <c r="C61" s="226">
        <v>182800499.61</v>
      </c>
      <c r="D61" s="226">
        <v>17354813.78</v>
      </c>
      <c r="E61" s="226">
        <v>17516617.74</v>
      </c>
      <c r="F61" s="166">
        <f t="shared" si="9"/>
        <v>-0.009237169092895738</v>
      </c>
      <c r="G61" s="241">
        <f t="shared" si="10"/>
        <v>0.09493854676013486</v>
      </c>
      <c r="H61" s="242">
        <f t="shared" si="11"/>
        <v>0.9050614532398651</v>
      </c>
      <c r="I61" s="157"/>
    </row>
    <row r="62" spans="1:9" ht="15.75">
      <c r="A62" s="177"/>
      <c r="B62" s="165">
        <f>DATE(18,5,1)</f>
        <v>6696</v>
      </c>
      <c r="C62" s="226">
        <v>179685980.59</v>
      </c>
      <c r="D62" s="226">
        <v>17005402.16</v>
      </c>
      <c r="E62" s="226">
        <v>17140703.99</v>
      </c>
      <c r="F62" s="166">
        <f t="shared" si="9"/>
        <v>-0.007893598190537227</v>
      </c>
      <c r="G62" s="241">
        <f t="shared" si="10"/>
        <v>0.0946395601045928</v>
      </c>
      <c r="H62" s="242">
        <f t="shared" si="11"/>
        <v>0.9053604398954072</v>
      </c>
      <c r="I62" s="157"/>
    </row>
    <row r="63" spans="1:9" ht="15.75" thickBot="1">
      <c r="A63" s="167"/>
      <c r="B63" s="168"/>
      <c r="C63" s="226"/>
      <c r="D63" s="226"/>
      <c r="E63" s="226"/>
      <c r="F63" s="166"/>
      <c r="G63" s="241"/>
      <c r="H63" s="242"/>
      <c r="I63" s="157"/>
    </row>
    <row r="64" spans="1:9" ht="17.25" thickBot="1" thickTop="1">
      <c r="A64" s="174" t="s">
        <v>14</v>
      </c>
      <c r="B64" s="178"/>
      <c r="C64" s="228">
        <f>SUM(C52:C63)</f>
        <v>1986925216.6499999</v>
      </c>
      <c r="D64" s="228">
        <f>SUM(D52:D63)</f>
        <v>184134549.99</v>
      </c>
      <c r="E64" s="228">
        <f>SUM(E52:E63)</f>
        <v>187901431.77000004</v>
      </c>
      <c r="F64" s="176">
        <f>(+D64-E64)/E64</f>
        <v>-0.020047115897503468</v>
      </c>
      <c r="G64" s="245">
        <f>D64/C64</f>
        <v>0.09267311544842888</v>
      </c>
      <c r="H64" s="246">
        <f>1-G64</f>
        <v>0.9073268845515712</v>
      </c>
      <c r="I64" s="157"/>
    </row>
    <row r="65" spans="1:9" ht="15.75" thickTop="1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.75">
      <c r="A66" s="164" t="s">
        <v>16</v>
      </c>
      <c r="B66" s="165">
        <f>DATE(17,7,1)</f>
        <v>6392</v>
      </c>
      <c r="C66" s="226">
        <v>122650754.72</v>
      </c>
      <c r="D66" s="226">
        <v>12386204.68</v>
      </c>
      <c r="E66" s="226">
        <v>10986140.39</v>
      </c>
      <c r="F66" s="166">
        <f aca="true" t="shared" si="12" ref="F66:F76">(+D66-E66)/E66</f>
        <v>0.12743914061706244</v>
      </c>
      <c r="G66" s="241">
        <f aca="true" t="shared" si="13" ref="G66:G76">D66/C66</f>
        <v>0.10098759447731509</v>
      </c>
      <c r="H66" s="242">
        <f aca="true" t="shared" si="14" ref="H66:H76">1-G66</f>
        <v>0.8990124055226849</v>
      </c>
      <c r="I66" s="157"/>
    </row>
    <row r="67" spans="1:9" ht="15.75">
      <c r="A67" s="164"/>
      <c r="B67" s="165">
        <f>DATE(17,8,1)</f>
        <v>6423</v>
      </c>
      <c r="C67" s="226">
        <v>118081260.75</v>
      </c>
      <c r="D67" s="226">
        <v>11735802.96</v>
      </c>
      <c r="E67" s="226">
        <v>11023402.54</v>
      </c>
      <c r="F67" s="166">
        <f t="shared" si="12"/>
        <v>0.06462618210801561</v>
      </c>
      <c r="G67" s="241">
        <f t="shared" si="13"/>
        <v>0.0993875140344824</v>
      </c>
      <c r="H67" s="242">
        <f t="shared" si="14"/>
        <v>0.9006124859655176</v>
      </c>
      <c r="I67" s="157"/>
    </row>
    <row r="68" spans="1:9" ht="15.75">
      <c r="A68" s="164"/>
      <c r="B68" s="165">
        <f>DATE(17,9,1)</f>
        <v>6454</v>
      </c>
      <c r="C68" s="226">
        <v>124802163.83</v>
      </c>
      <c r="D68" s="226">
        <v>11892155.97</v>
      </c>
      <c r="E68" s="226">
        <v>10758067.16</v>
      </c>
      <c r="F68" s="166">
        <f t="shared" si="12"/>
        <v>0.10541752464761528</v>
      </c>
      <c r="G68" s="241">
        <f t="shared" si="13"/>
        <v>0.09528805915736342</v>
      </c>
      <c r="H68" s="242">
        <f t="shared" si="14"/>
        <v>0.9047119408426366</v>
      </c>
      <c r="I68" s="157"/>
    </row>
    <row r="69" spans="1:9" ht="15.75">
      <c r="A69" s="164"/>
      <c r="B69" s="165">
        <f>DATE(17,10,1)</f>
        <v>6484</v>
      </c>
      <c r="C69" s="226">
        <v>121164519.66</v>
      </c>
      <c r="D69" s="226">
        <v>11365393.67</v>
      </c>
      <c r="E69" s="226">
        <v>10388271.47</v>
      </c>
      <c r="F69" s="166">
        <f t="shared" si="12"/>
        <v>0.0940601333746238</v>
      </c>
      <c r="G69" s="241">
        <f t="shared" si="13"/>
        <v>0.09380133476278744</v>
      </c>
      <c r="H69" s="242">
        <f t="shared" si="14"/>
        <v>0.9061986652372126</v>
      </c>
      <c r="I69" s="157"/>
    </row>
    <row r="70" spans="1:9" ht="15.75">
      <c r="A70" s="164"/>
      <c r="B70" s="165">
        <f>DATE(17,11,1)</f>
        <v>6515</v>
      </c>
      <c r="C70" s="226">
        <v>108604695.6</v>
      </c>
      <c r="D70" s="226">
        <v>10423173.18</v>
      </c>
      <c r="E70" s="226">
        <v>10027604.31</v>
      </c>
      <c r="F70" s="166">
        <f t="shared" si="12"/>
        <v>0.03944799353575602</v>
      </c>
      <c r="G70" s="241">
        <f t="shared" si="13"/>
        <v>0.09597350393015604</v>
      </c>
      <c r="H70" s="242">
        <f t="shared" si="14"/>
        <v>0.904026496069844</v>
      </c>
      <c r="I70" s="157"/>
    </row>
    <row r="71" spans="1:9" ht="15.75">
      <c r="A71" s="164"/>
      <c r="B71" s="165">
        <f>DATE(17,12,1)</f>
        <v>6545</v>
      </c>
      <c r="C71" s="226">
        <v>121851286.93</v>
      </c>
      <c r="D71" s="226">
        <v>11374202.05</v>
      </c>
      <c r="E71" s="226">
        <v>10322703.49</v>
      </c>
      <c r="F71" s="166">
        <f t="shared" si="12"/>
        <v>0.10186271077326087</v>
      </c>
      <c r="G71" s="241">
        <f t="shared" si="13"/>
        <v>0.09334494806389813</v>
      </c>
      <c r="H71" s="242">
        <f t="shared" si="14"/>
        <v>0.9066550519361019</v>
      </c>
      <c r="I71" s="157"/>
    </row>
    <row r="72" spans="1:9" ht="15.75">
      <c r="A72" s="164"/>
      <c r="B72" s="165">
        <f>DATE(18,1,1)</f>
        <v>6576</v>
      </c>
      <c r="C72" s="226">
        <v>98869972.59</v>
      </c>
      <c r="D72" s="226">
        <v>9601370.92</v>
      </c>
      <c r="E72" s="226">
        <v>9495948.77</v>
      </c>
      <c r="F72" s="166">
        <f t="shared" si="12"/>
        <v>0.011101802732240349</v>
      </c>
      <c r="G72" s="241">
        <f t="shared" si="13"/>
        <v>0.09711109114812388</v>
      </c>
      <c r="H72" s="242">
        <f t="shared" si="14"/>
        <v>0.9028889088518761</v>
      </c>
      <c r="I72" s="157"/>
    </row>
    <row r="73" spans="1:9" ht="15.75">
      <c r="A73" s="164"/>
      <c r="B73" s="165">
        <f>DATE(18,2,1)</f>
        <v>6607</v>
      </c>
      <c r="C73" s="226">
        <v>103363336.11</v>
      </c>
      <c r="D73" s="226">
        <v>9958011.36</v>
      </c>
      <c r="E73" s="226">
        <v>10021318.48</v>
      </c>
      <c r="F73" s="166">
        <f t="shared" si="12"/>
        <v>-0.006317244594745286</v>
      </c>
      <c r="G73" s="241">
        <f t="shared" si="13"/>
        <v>0.09633987963974588</v>
      </c>
      <c r="H73" s="242">
        <f t="shared" si="14"/>
        <v>0.9036601203602541</v>
      </c>
      <c r="I73" s="157"/>
    </row>
    <row r="74" spans="1:9" ht="15.75">
      <c r="A74" s="164"/>
      <c r="B74" s="165">
        <f>DATE(18,3,1)</f>
        <v>6635</v>
      </c>
      <c r="C74" s="226">
        <v>121750394.37</v>
      </c>
      <c r="D74" s="226">
        <v>11915524.59</v>
      </c>
      <c r="E74" s="226">
        <v>12423291.88</v>
      </c>
      <c r="F74" s="166">
        <f t="shared" si="12"/>
        <v>-0.040872201579473875</v>
      </c>
      <c r="G74" s="241">
        <f t="shared" si="13"/>
        <v>0.09786846812001829</v>
      </c>
      <c r="H74" s="242">
        <f t="shared" si="14"/>
        <v>0.9021315318799817</v>
      </c>
      <c r="I74" s="157"/>
    </row>
    <row r="75" spans="1:9" ht="15.75">
      <c r="A75" s="164"/>
      <c r="B75" s="165">
        <f>DATE(18,4,1)</f>
        <v>6666</v>
      </c>
      <c r="C75" s="226">
        <v>112989042.24</v>
      </c>
      <c r="D75" s="226">
        <v>11125906.65</v>
      </c>
      <c r="E75" s="226">
        <v>11348877.78</v>
      </c>
      <c r="F75" s="166">
        <f t="shared" si="12"/>
        <v>-0.01964697605545973</v>
      </c>
      <c r="G75" s="241">
        <f t="shared" si="13"/>
        <v>0.09846889954485555</v>
      </c>
      <c r="H75" s="242">
        <f t="shared" si="14"/>
        <v>0.9015311004551445</v>
      </c>
      <c r="I75" s="157"/>
    </row>
    <row r="76" spans="1:9" ht="15.75">
      <c r="A76" s="164"/>
      <c r="B76" s="165">
        <f>DATE(18,5,1)</f>
        <v>6696</v>
      </c>
      <c r="C76" s="226">
        <v>112653207.81</v>
      </c>
      <c r="D76" s="226">
        <v>10440578.3</v>
      </c>
      <c r="E76" s="226">
        <v>11915213.82</v>
      </c>
      <c r="F76" s="166">
        <f t="shared" si="12"/>
        <v>-0.12376072660356166</v>
      </c>
      <c r="G76" s="241">
        <f t="shared" si="13"/>
        <v>0.09267892590869668</v>
      </c>
      <c r="H76" s="242">
        <f t="shared" si="14"/>
        <v>0.9073210740913034</v>
      </c>
      <c r="I76" s="157"/>
    </row>
    <row r="77" spans="1:9" ht="15.75" thickBot="1">
      <c r="A77" s="167"/>
      <c r="B77" s="165"/>
      <c r="C77" s="226"/>
      <c r="D77" s="226"/>
      <c r="E77" s="226"/>
      <c r="F77" s="166"/>
      <c r="G77" s="241"/>
      <c r="H77" s="242"/>
      <c r="I77" s="157"/>
    </row>
    <row r="78" spans="1:9" ht="17.25" thickBot="1" thickTop="1">
      <c r="A78" s="174" t="s">
        <v>14</v>
      </c>
      <c r="B78" s="175"/>
      <c r="C78" s="228">
        <f>SUM(C66:C77)</f>
        <v>1266780634.61</v>
      </c>
      <c r="D78" s="230">
        <f>SUM(D66:D77)</f>
        <v>122218324.33000001</v>
      </c>
      <c r="E78" s="271">
        <f>SUM(E66:E77)</f>
        <v>118710840.09</v>
      </c>
      <c r="F78" s="272">
        <f>(+D78-E78)/E78</f>
        <v>0.029546452854186094</v>
      </c>
      <c r="G78" s="249">
        <f>D78/C78</f>
        <v>0.09647947007622754</v>
      </c>
      <c r="H78" s="270">
        <f>1-G78</f>
        <v>0.9035205299237725</v>
      </c>
      <c r="I78" s="157"/>
    </row>
    <row r="79" spans="1:9" ht="15.75" thickTop="1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>
      <c r="A80" s="164" t="s">
        <v>66</v>
      </c>
      <c r="B80" s="165">
        <f>DATE(17,7,1)</f>
        <v>6392</v>
      </c>
      <c r="C80" s="226">
        <v>48763845.1</v>
      </c>
      <c r="D80" s="226">
        <v>4991725.48</v>
      </c>
      <c r="E80" s="226">
        <v>5336762.36</v>
      </c>
      <c r="F80" s="166">
        <f aca="true" t="shared" si="15" ref="F80:F90">(+D80-E80)/E80</f>
        <v>-0.0646528469369582</v>
      </c>
      <c r="G80" s="241">
        <f aca="true" t="shared" si="16" ref="G80:G90">D80/C80</f>
        <v>0.10236529686622273</v>
      </c>
      <c r="H80" s="242">
        <f aca="true" t="shared" si="17" ref="H80:H90">1-G80</f>
        <v>0.8976347031337772</v>
      </c>
      <c r="I80" s="157"/>
    </row>
    <row r="81" spans="1:9" ht="15.75">
      <c r="A81" s="164"/>
      <c r="B81" s="165">
        <f>DATE(17,8,1)</f>
        <v>6423</v>
      </c>
      <c r="C81" s="226">
        <v>46643306.34</v>
      </c>
      <c r="D81" s="226">
        <v>4592418.47</v>
      </c>
      <c r="E81" s="226">
        <v>4882835.18</v>
      </c>
      <c r="F81" s="166">
        <f t="shared" si="15"/>
        <v>-0.05947706594511756</v>
      </c>
      <c r="G81" s="241">
        <f t="shared" si="16"/>
        <v>0.0984582532919985</v>
      </c>
      <c r="H81" s="242">
        <f t="shared" si="17"/>
        <v>0.9015417467080015</v>
      </c>
      <c r="I81" s="157"/>
    </row>
    <row r="82" spans="1:9" ht="15.75">
      <c r="A82" s="164"/>
      <c r="B82" s="165">
        <f>DATE(17,9,1)</f>
        <v>6454</v>
      </c>
      <c r="C82" s="226">
        <v>47450126.56</v>
      </c>
      <c r="D82" s="226">
        <v>5151289.35</v>
      </c>
      <c r="E82" s="226">
        <v>4889525.49</v>
      </c>
      <c r="F82" s="166">
        <f t="shared" si="15"/>
        <v>0.0535356366451828</v>
      </c>
      <c r="G82" s="241">
        <f t="shared" si="16"/>
        <v>0.1085621835694425</v>
      </c>
      <c r="H82" s="242">
        <f t="shared" si="17"/>
        <v>0.8914378164305575</v>
      </c>
      <c r="I82" s="157"/>
    </row>
    <row r="83" spans="1:9" ht="15.75">
      <c r="A83" s="164"/>
      <c r="B83" s="165">
        <f>DATE(17,10,1)</f>
        <v>6484</v>
      </c>
      <c r="C83" s="226">
        <v>43853918.35</v>
      </c>
      <c r="D83" s="226">
        <v>4567525</v>
      </c>
      <c r="E83" s="226">
        <v>4651162.99</v>
      </c>
      <c r="F83" s="166">
        <f t="shared" si="15"/>
        <v>-0.01798216707946419</v>
      </c>
      <c r="G83" s="241">
        <f t="shared" si="16"/>
        <v>0.10415317882307316</v>
      </c>
      <c r="H83" s="242">
        <f t="shared" si="17"/>
        <v>0.8958468211769268</v>
      </c>
      <c r="I83" s="157"/>
    </row>
    <row r="84" spans="1:9" ht="15.75">
      <c r="A84" s="164"/>
      <c r="B84" s="165">
        <f>DATE(17,11,1)</f>
        <v>6515</v>
      </c>
      <c r="C84" s="226">
        <v>42534698.28</v>
      </c>
      <c r="D84" s="226">
        <v>4348004.21</v>
      </c>
      <c r="E84" s="226">
        <v>4567000.88</v>
      </c>
      <c r="F84" s="166">
        <f t="shared" si="15"/>
        <v>-0.04795196579861397</v>
      </c>
      <c r="G84" s="241">
        <f t="shared" si="16"/>
        <v>0.10222252386457976</v>
      </c>
      <c r="H84" s="242">
        <f t="shared" si="17"/>
        <v>0.8977774761354202</v>
      </c>
      <c r="I84" s="157"/>
    </row>
    <row r="85" spans="1:9" ht="15.75">
      <c r="A85" s="164"/>
      <c r="B85" s="165">
        <f>DATE(17,12,1)</f>
        <v>6545</v>
      </c>
      <c r="C85" s="226">
        <v>47343687.14</v>
      </c>
      <c r="D85" s="226">
        <v>4903510.72</v>
      </c>
      <c r="E85" s="226">
        <v>4759383.95</v>
      </c>
      <c r="F85" s="166">
        <f t="shared" si="15"/>
        <v>0.03028265244286491</v>
      </c>
      <c r="G85" s="241">
        <f t="shared" si="16"/>
        <v>0.10357264117388723</v>
      </c>
      <c r="H85" s="242">
        <f t="shared" si="17"/>
        <v>0.8964273588261128</v>
      </c>
      <c r="I85" s="157"/>
    </row>
    <row r="86" spans="1:9" ht="15.75">
      <c r="A86" s="164"/>
      <c r="B86" s="165">
        <f>DATE(18,1,1)</f>
        <v>6576</v>
      </c>
      <c r="C86" s="226">
        <v>41181144.11</v>
      </c>
      <c r="D86" s="226">
        <v>4062330.47</v>
      </c>
      <c r="E86" s="226">
        <v>4536139.97</v>
      </c>
      <c r="F86" s="166">
        <f t="shared" si="15"/>
        <v>-0.10445213400238167</v>
      </c>
      <c r="G86" s="241">
        <f t="shared" si="16"/>
        <v>0.09864540089388985</v>
      </c>
      <c r="H86" s="242">
        <f t="shared" si="17"/>
        <v>0.9013545991061102</v>
      </c>
      <c r="I86" s="157"/>
    </row>
    <row r="87" spans="1:9" ht="15.75">
      <c r="A87" s="164"/>
      <c r="B87" s="165">
        <f>DATE(18,2,1)</f>
        <v>6607</v>
      </c>
      <c r="C87" s="226">
        <v>45191439.71</v>
      </c>
      <c r="D87" s="226">
        <v>4744487.69</v>
      </c>
      <c r="E87" s="226">
        <v>4899915.65</v>
      </c>
      <c r="F87" s="166">
        <f t="shared" si="15"/>
        <v>-0.031720537883136814</v>
      </c>
      <c r="G87" s="241">
        <f t="shared" si="16"/>
        <v>0.10498642487263216</v>
      </c>
      <c r="H87" s="242">
        <f t="shared" si="17"/>
        <v>0.8950135751273678</v>
      </c>
      <c r="I87" s="157"/>
    </row>
    <row r="88" spans="1:9" ht="15.75">
      <c r="A88" s="164"/>
      <c r="B88" s="165">
        <f>DATE(18,3,1)</f>
        <v>6635</v>
      </c>
      <c r="C88" s="226">
        <v>57108388.15</v>
      </c>
      <c r="D88" s="226">
        <v>5877350.31</v>
      </c>
      <c r="E88" s="226">
        <v>5285635</v>
      </c>
      <c r="F88" s="166">
        <f t="shared" si="15"/>
        <v>0.11194781894701386</v>
      </c>
      <c r="G88" s="241">
        <f t="shared" si="16"/>
        <v>0.10291570994023931</v>
      </c>
      <c r="H88" s="242">
        <f t="shared" si="17"/>
        <v>0.8970842900597606</v>
      </c>
      <c r="I88" s="157"/>
    </row>
    <row r="89" spans="1:9" ht="15.75">
      <c r="A89" s="164"/>
      <c r="B89" s="165">
        <f>DATE(18,4,1)</f>
        <v>6666</v>
      </c>
      <c r="C89" s="226">
        <v>45957042.36</v>
      </c>
      <c r="D89" s="226">
        <v>4747529.41</v>
      </c>
      <c r="E89" s="226">
        <v>4688030.13</v>
      </c>
      <c r="F89" s="166">
        <f t="shared" si="15"/>
        <v>0.012691744368119123</v>
      </c>
      <c r="G89" s="241">
        <f t="shared" si="16"/>
        <v>0.10330363239676506</v>
      </c>
      <c r="H89" s="242">
        <f t="shared" si="17"/>
        <v>0.8966963676032349</v>
      </c>
      <c r="I89" s="157"/>
    </row>
    <row r="90" spans="1:9" ht="15.75">
      <c r="A90" s="164"/>
      <c r="B90" s="165">
        <f>DATE(18,5,1)</f>
        <v>6696</v>
      </c>
      <c r="C90" s="226">
        <v>44768286.05</v>
      </c>
      <c r="D90" s="226">
        <v>4634455.94</v>
      </c>
      <c r="E90" s="226">
        <v>4616514.62</v>
      </c>
      <c r="F90" s="166">
        <f t="shared" si="15"/>
        <v>0.0038863344918856333</v>
      </c>
      <c r="G90" s="241">
        <f t="shared" si="16"/>
        <v>0.10352095978889951</v>
      </c>
      <c r="H90" s="242">
        <f t="shared" si="17"/>
        <v>0.8964790402111005</v>
      </c>
      <c r="I90" s="157"/>
    </row>
    <row r="91" spans="1:9" ht="15.75" thickBot="1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7.25" thickBot="1" thickTop="1">
      <c r="A92" s="174" t="s">
        <v>14</v>
      </c>
      <c r="B92" s="175"/>
      <c r="C92" s="228">
        <f>SUM(C80:C91)</f>
        <v>510795882.15</v>
      </c>
      <c r="D92" s="230">
        <f>SUM(D80:D91)</f>
        <v>52620627.05</v>
      </c>
      <c r="E92" s="271">
        <f>SUM(E80:E91)</f>
        <v>53112906.22</v>
      </c>
      <c r="F92" s="272">
        <f>(+D92-E92)/E92</f>
        <v>-0.009268541396716698</v>
      </c>
      <c r="G92" s="249">
        <f>D92/C92</f>
        <v>0.10301693668420658</v>
      </c>
      <c r="H92" s="270">
        <f>1-G92</f>
        <v>0.8969830633157934</v>
      </c>
      <c r="I92" s="157"/>
    </row>
    <row r="93" spans="1:9" ht="15.75" thickTop="1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>
      <c r="A94" s="164" t="s">
        <v>17</v>
      </c>
      <c r="B94" s="165">
        <f>DATE(17,7,1)</f>
        <v>6392</v>
      </c>
      <c r="C94" s="226">
        <v>51730614.82</v>
      </c>
      <c r="D94" s="226">
        <v>5822170.92</v>
      </c>
      <c r="E94" s="226">
        <v>5949492.25</v>
      </c>
      <c r="F94" s="166">
        <f aca="true" t="shared" si="18" ref="F94:F104">(+D94-E94)/E94</f>
        <v>-0.021400369081916205</v>
      </c>
      <c r="G94" s="241">
        <f aca="true" t="shared" si="19" ref="G94:G104">D94/C94</f>
        <v>0.11254787789123748</v>
      </c>
      <c r="H94" s="242">
        <f aca="true" t="shared" si="20" ref="H94:H104">1-G94</f>
        <v>0.8874521221087626</v>
      </c>
      <c r="I94" s="157"/>
    </row>
    <row r="95" spans="1:9" ht="15.75">
      <c r="A95" s="164"/>
      <c r="B95" s="165">
        <f>DATE(17,8,1)</f>
        <v>6423</v>
      </c>
      <c r="C95" s="226">
        <v>50278496.66</v>
      </c>
      <c r="D95" s="226">
        <v>5584923.33</v>
      </c>
      <c r="E95" s="226">
        <v>5777712.11</v>
      </c>
      <c r="F95" s="166">
        <f t="shared" si="18"/>
        <v>-0.0333676680889523</v>
      </c>
      <c r="G95" s="241">
        <f t="shared" si="19"/>
        <v>0.11107975975827437</v>
      </c>
      <c r="H95" s="242">
        <f t="shared" si="20"/>
        <v>0.8889202402417257</v>
      </c>
      <c r="I95" s="157"/>
    </row>
    <row r="96" spans="1:9" ht="15.75">
      <c r="A96" s="164"/>
      <c r="B96" s="165">
        <f>DATE(17,9,1)</f>
        <v>6454</v>
      </c>
      <c r="C96" s="226">
        <v>51254253.76</v>
      </c>
      <c r="D96" s="226">
        <v>5571414.24</v>
      </c>
      <c r="E96" s="226">
        <v>5530260.84</v>
      </c>
      <c r="F96" s="166">
        <f t="shared" si="18"/>
        <v>0.007441493482972925</v>
      </c>
      <c r="G96" s="241">
        <f t="shared" si="19"/>
        <v>0.10870149951042815</v>
      </c>
      <c r="H96" s="242">
        <f t="shared" si="20"/>
        <v>0.8912985004895718</v>
      </c>
      <c r="I96" s="157"/>
    </row>
    <row r="97" spans="1:9" ht="15.75">
      <c r="A97" s="164"/>
      <c r="B97" s="165">
        <f>DATE(17,10,1)</f>
        <v>6484</v>
      </c>
      <c r="C97" s="226">
        <v>48929722.41</v>
      </c>
      <c r="D97" s="226">
        <v>5441119.06</v>
      </c>
      <c r="E97" s="226">
        <v>5730702.37</v>
      </c>
      <c r="F97" s="166">
        <f t="shared" si="18"/>
        <v>-0.050531905393649074</v>
      </c>
      <c r="G97" s="241">
        <f t="shared" si="19"/>
        <v>0.11120273715037411</v>
      </c>
      <c r="H97" s="242">
        <f t="shared" si="20"/>
        <v>0.8887972628496259</v>
      </c>
      <c r="I97" s="157"/>
    </row>
    <row r="98" spans="1:9" ht="15.75">
      <c r="A98" s="164"/>
      <c r="B98" s="165">
        <f>DATE(17,11,1)</f>
        <v>6515</v>
      </c>
      <c r="C98" s="226">
        <v>47395483.1</v>
      </c>
      <c r="D98" s="226">
        <v>5393254.4</v>
      </c>
      <c r="E98" s="226">
        <v>5507223.42</v>
      </c>
      <c r="F98" s="166">
        <f t="shared" si="18"/>
        <v>-0.020694460948526318</v>
      </c>
      <c r="G98" s="241">
        <f t="shared" si="19"/>
        <v>0.11379258206147497</v>
      </c>
      <c r="H98" s="242">
        <f t="shared" si="20"/>
        <v>0.8862074179385251</v>
      </c>
      <c r="I98" s="157"/>
    </row>
    <row r="99" spans="1:9" ht="15.75">
      <c r="A99" s="164"/>
      <c r="B99" s="165">
        <f>DATE(17,12,1)</f>
        <v>6545</v>
      </c>
      <c r="C99" s="226">
        <v>50499042.39</v>
      </c>
      <c r="D99" s="226">
        <v>5595361.43</v>
      </c>
      <c r="E99" s="226">
        <v>5775753.06</v>
      </c>
      <c r="F99" s="166">
        <f t="shared" si="18"/>
        <v>-0.031232573159905817</v>
      </c>
      <c r="G99" s="241">
        <f t="shared" si="19"/>
        <v>0.11080133731621043</v>
      </c>
      <c r="H99" s="242">
        <f t="shared" si="20"/>
        <v>0.8891986626837896</v>
      </c>
      <c r="I99" s="157"/>
    </row>
    <row r="100" spans="1:9" ht="15.75">
      <c r="A100" s="164"/>
      <c r="B100" s="165">
        <f>DATE(18,1,1)</f>
        <v>6576</v>
      </c>
      <c r="C100" s="226">
        <v>45338566.4</v>
      </c>
      <c r="D100" s="226">
        <v>5047120.87</v>
      </c>
      <c r="E100" s="226">
        <v>5323269.15</v>
      </c>
      <c r="F100" s="166">
        <f t="shared" si="18"/>
        <v>-0.05187569371727151</v>
      </c>
      <c r="G100" s="241">
        <f t="shared" si="19"/>
        <v>0.11132069826539553</v>
      </c>
      <c r="H100" s="242">
        <f t="shared" si="20"/>
        <v>0.8886793017346044</v>
      </c>
      <c r="I100" s="157"/>
    </row>
    <row r="101" spans="1:9" ht="15.75">
      <c r="A101" s="164"/>
      <c r="B101" s="165">
        <f>DATE(18,2,1)</f>
        <v>6607</v>
      </c>
      <c r="C101" s="226">
        <v>47663451.33</v>
      </c>
      <c r="D101" s="226">
        <v>5208050.55</v>
      </c>
      <c r="E101" s="226">
        <v>5916633.96</v>
      </c>
      <c r="F101" s="166">
        <f t="shared" si="18"/>
        <v>-0.11976123836465966</v>
      </c>
      <c r="G101" s="241">
        <f t="shared" si="19"/>
        <v>0.10926717232333498</v>
      </c>
      <c r="H101" s="242">
        <f t="shared" si="20"/>
        <v>0.8907328276766651</v>
      </c>
      <c r="I101" s="157"/>
    </row>
    <row r="102" spans="1:9" ht="15.75">
      <c r="A102" s="164"/>
      <c r="B102" s="165">
        <f>DATE(18,3,1)</f>
        <v>6635</v>
      </c>
      <c r="C102" s="226">
        <v>59270393.23</v>
      </c>
      <c r="D102" s="226">
        <v>6546343.56</v>
      </c>
      <c r="E102" s="226">
        <v>6941288.64</v>
      </c>
      <c r="F102" s="166">
        <f t="shared" si="18"/>
        <v>-0.05689794798678766</v>
      </c>
      <c r="G102" s="241">
        <f t="shared" si="19"/>
        <v>0.11044879581947055</v>
      </c>
      <c r="H102" s="242">
        <f t="shared" si="20"/>
        <v>0.8895512041805295</v>
      </c>
      <c r="I102" s="157"/>
    </row>
    <row r="103" spans="1:9" ht="15.75">
      <c r="A103" s="164"/>
      <c r="B103" s="165">
        <f>DATE(18,4,1)</f>
        <v>6666</v>
      </c>
      <c r="C103" s="226">
        <v>49938452.93</v>
      </c>
      <c r="D103" s="226">
        <v>5597873.2</v>
      </c>
      <c r="E103" s="226">
        <v>6296959.43</v>
      </c>
      <c r="F103" s="166">
        <f t="shared" si="18"/>
        <v>-0.11101964968511788</v>
      </c>
      <c r="G103" s="241">
        <f t="shared" si="19"/>
        <v>0.11209544692637317</v>
      </c>
      <c r="H103" s="242">
        <f t="shared" si="20"/>
        <v>0.8879045530736268</v>
      </c>
      <c r="I103" s="157"/>
    </row>
    <row r="104" spans="1:9" ht="15.75">
      <c r="A104" s="164"/>
      <c r="B104" s="165">
        <f>DATE(18,5,1)</f>
        <v>6696</v>
      </c>
      <c r="C104" s="226">
        <v>49488651.14</v>
      </c>
      <c r="D104" s="226">
        <v>5227940.91</v>
      </c>
      <c r="E104" s="226">
        <v>5870659.49</v>
      </c>
      <c r="F104" s="166">
        <f t="shared" si="18"/>
        <v>-0.10947979202248026</v>
      </c>
      <c r="G104" s="241">
        <f t="shared" si="19"/>
        <v>0.10563918776469607</v>
      </c>
      <c r="H104" s="242">
        <f t="shared" si="20"/>
        <v>0.894360812235304</v>
      </c>
      <c r="I104" s="157"/>
    </row>
    <row r="105" spans="1:9" ht="15.75" thickBot="1">
      <c r="A105" s="167"/>
      <c r="B105" s="165"/>
      <c r="C105" s="226"/>
      <c r="D105" s="226"/>
      <c r="E105" s="226"/>
      <c r="F105" s="166"/>
      <c r="G105" s="241"/>
      <c r="H105" s="242"/>
      <c r="I105" s="157"/>
    </row>
    <row r="106" spans="1:9" ht="17.25" thickBot="1" thickTop="1">
      <c r="A106" s="174" t="s">
        <v>14</v>
      </c>
      <c r="B106" s="175"/>
      <c r="C106" s="228">
        <f>SUM(C94:C105)</f>
        <v>551787128.17</v>
      </c>
      <c r="D106" s="230">
        <f>SUM(D94:D105)</f>
        <v>61035572.47</v>
      </c>
      <c r="E106" s="271">
        <f>SUM(E94:E105)</f>
        <v>64619954.720000006</v>
      </c>
      <c r="F106" s="272">
        <f>(+D106-E106)/E106</f>
        <v>-0.055468659263709356</v>
      </c>
      <c r="G106" s="249">
        <f>D106/C106</f>
        <v>0.11061434628318398</v>
      </c>
      <c r="H106" s="270">
        <f>1-G106</f>
        <v>0.889385653716816</v>
      </c>
      <c r="I106" s="157"/>
    </row>
    <row r="107" spans="1:9" ht="15.75" thickTop="1">
      <c r="A107" s="167"/>
      <c r="B107" s="168"/>
      <c r="C107" s="226"/>
      <c r="D107" s="226"/>
      <c r="E107" s="226"/>
      <c r="F107" s="166"/>
      <c r="G107" s="241"/>
      <c r="H107" s="242"/>
      <c r="I107" s="157"/>
    </row>
    <row r="108" spans="1:9" ht="15.75">
      <c r="A108" s="164" t="s">
        <v>67</v>
      </c>
      <c r="B108" s="165">
        <f>DATE(17,7,1)</f>
        <v>6392</v>
      </c>
      <c r="C108" s="226">
        <v>109468070.42</v>
      </c>
      <c r="D108" s="226">
        <v>10117966.68</v>
      </c>
      <c r="E108" s="226">
        <v>8936566.59</v>
      </c>
      <c r="F108" s="166">
        <f aca="true" t="shared" si="21" ref="F108:F118">(+D108-E108)/E108</f>
        <v>0.13219843192596856</v>
      </c>
      <c r="G108" s="241">
        <f aca="true" t="shared" si="22" ref="G108:G118">D108/C108</f>
        <v>0.09242847381140493</v>
      </c>
      <c r="H108" s="242">
        <f aca="true" t="shared" si="23" ref="H108:H118">1-G108</f>
        <v>0.907571526188595</v>
      </c>
      <c r="I108" s="157"/>
    </row>
    <row r="109" spans="1:9" ht="15.75">
      <c r="A109" s="164"/>
      <c r="B109" s="165">
        <f>DATE(17,8,1)</f>
        <v>6423</v>
      </c>
      <c r="C109" s="226">
        <v>102310953.37</v>
      </c>
      <c r="D109" s="226">
        <v>10081520.41</v>
      </c>
      <c r="E109" s="226">
        <v>7748842.64</v>
      </c>
      <c r="F109" s="166">
        <f t="shared" si="21"/>
        <v>0.3010356356907514</v>
      </c>
      <c r="G109" s="241">
        <f t="shared" si="22"/>
        <v>0.09853803603550566</v>
      </c>
      <c r="H109" s="242">
        <f t="shared" si="23"/>
        <v>0.9014619639644943</v>
      </c>
      <c r="I109" s="157"/>
    </row>
    <row r="110" spans="1:9" ht="15.75">
      <c r="A110" s="164"/>
      <c r="B110" s="165">
        <f>DATE(17,9,1)</f>
        <v>6454</v>
      </c>
      <c r="C110" s="226">
        <v>103135206.2</v>
      </c>
      <c r="D110" s="226">
        <v>9642813.36</v>
      </c>
      <c r="E110" s="226">
        <v>8194684.76</v>
      </c>
      <c r="F110" s="166">
        <f t="shared" si="21"/>
        <v>0.17671559582970459</v>
      </c>
      <c r="G110" s="241">
        <f t="shared" si="22"/>
        <v>0.09349681563927488</v>
      </c>
      <c r="H110" s="242">
        <f t="shared" si="23"/>
        <v>0.9065031843607251</v>
      </c>
      <c r="I110" s="157"/>
    </row>
    <row r="111" spans="1:9" ht="15.75">
      <c r="A111" s="164"/>
      <c r="B111" s="165">
        <f>DATE(17,10,1)</f>
        <v>6484</v>
      </c>
      <c r="C111" s="226">
        <v>98551658.52</v>
      </c>
      <c r="D111" s="226">
        <v>9440836.54</v>
      </c>
      <c r="E111" s="226">
        <v>8155477.29</v>
      </c>
      <c r="F111" s="166">
        <f t="shared" si="21"/>
        <v>0.15760687011857266</v>
      </c>
      <c r="G111" s="241">
        <f t="shared" si="22"/>
        <v>0.09579581593833941</v>
      </c>
      <c r="H111" s="242">
        <f t="shared" si="23"/>
        <v>0.9042041840616606</v>
      </c>
      <c r="I111" s="157"/>
    </row>
    <row r="112" spans="1:9" ht="15.75">
      <c r="A112" s="164"/>
      <c r="B112" s="165">
        <f>DATE(17,11,1)</f>
        <v>6515</v>
      </c>
      <c r="C112" s="226">
        <v>104447200.76</v>
      </c>
      <c r="D112" s="226">
        <v>9748688.07</v>
      </c>
      <c r="E112" s="226">
        <v>7902548.5</v>
      </c>
      <c r="F112" s="166">
        <f t="shared" si="21"/>
        <v>0.23361319073207842</v>
      </c>
      <c r="G112" s="241">
        <f t="shared" si="22"/>
        <v>0.09333603963595587</v>
      </c>
      <c r="H112" s="242">
        <f t="shared" si="23"/>
        <v>0.9066639603640442</v>
      </c>
      <c r="I112" s="157"/>
    </row>
    <row r="113" spans="1:9" ht="15.75">
      <c r="A113" s="164"/>
      <c r="B113" s="165">
        <f>DATE(17,12,1)</f>
        <v>6545</v>
      </c>
      <c r="C113" s="226">
        <v>119043904.52</v>
      </c>
      <c r="D113" s="226">
        <v>10597064.9</v>
      </c>
      <c r="E113" s="226">
        <v>9058840.33</v>
      </c>
      <c r="F113" s="166">
        <f t="shared" si="21"/>
        <v>0.1698036960543271</v>
      </c>
      <c r="G113" s="241">
        <f t="shared" si="22"/>
        <v>0.08901812270631326</v>
      </c>
      <c r="H113" s="242">
        <f t="shared" si="23"/>
        <v>0.9109818772936867</v>
      </c>
      <c r="I113" s="157"/>
    </row>
    <row r="114" spans="1:9" ht="15.75">
      <c r="A114" s="164"/>
      <c r="B114" s="165">
        <f>DATE(18,1,1)</f>
        <v>6576</v>
      </c>
      <c r="C114" s="226">
        <v>107495479.12</v>
      </c>
      <c r="D114" s="226">
        <v>10120620.01</v>
      </c>
      <c r="E114" s="226">
        <v>8269082.65</v>
      </c>
      <c r="F114" s="166">
        <f t="shared" si="21"/>
        <v>0.22391085424693383</v>
      </c>
      <c r="G114" s="241">
        <f t="shared" si="22"/>
        <v>0.09414926183734748</v>
      </c>
      <c r="H114" s="242">
        <f t="shared" si="23"/>
        <v>0.9058507381626525</v>
      </c>
      <c r="I114" s="157"/>
    </row>
    <row r="115" spans="1:9" ht="15.75">
      <c r="A115" s="164"/>
      <c r="B115" s="165">
        <f>DATE(18,2,1)</f>
        <v>6607</v>
      </c>
      <c r="C115" s="226">
        <v>117442153.2</v>
      </c>
      <c r="D115" s="226">
        <v>11560671.16</v>
      </c>
      <c r="E115" s="226">
        <v>9640352.66</v>
      </c>
      <c r="F115" s="166">
        <f t="shared" si="21"/>
        <v>0.1991958767201365</v>
      </c>
      <c r="G115" s="241">
        <f t="shared" si="22"/>
        <v>0.09843715263217773</v>
      </c>
      <c r="H115" s="242">
        <f t="shared" si="23"/>
        <v>0.9015628473678223</v>
      </c>
      <c r="I115" s="157"/>
    </row>
    <row r="116" spans="1:9" ht="15.75">
      <c r="A116" s="164"/>
      <c r="B116" s="165">
        <f>DATE(18,3,1)</f>
        <v>6635</v>
      </c>
      <c r="C116" s="226">
        <v>140467988.74</v>
      </c>
      <c r="D116" s="226">
        <v>13849903.03</v>
      </c>
      <c r="E116" s="226">
        <v>11097029.25</v>
      </c>
      <c r="F116" s="166">
        <f t="shared" si="21"/>
        <v>0.24807303990840607</v>
      </c>
      <c r="G116" s="241">
        <f t="shared" si="22"/>
        <v>0.09859828672876889</v>
      </c>
      <c r="H116" s="242">
        <f t="shared" si="23"/>
        <v>0.9014017132712311</v>
      </c>
      <c r="I116" s="157"/>
    </row>
    <row r="117" spans="1:9" ht="15.75">
      <c r="A117" s="164"/>
      <c r="B117" s="165">
        <f>DATE(18,4,1)</f>
        <v>6666</v>
      </c>
      <c r="C117" s="226">
        <v>122464222.08</v>
      </c>
      <c r="D117" s="226">
        <v>12019573.03</v>
      </c>
      <c r="E117" s="226">
        <v>10327489.5</v>
      </c>
      <c r="F117" s="166">
        <f t="shared" si="21"/>
        <v>0.16384267735154795</v>
      </c>
      <c r="G117" s="241">
        <f t="shared" si="22"/>
        <v>0.09814762896340605</v>
      </c>
      <c r="H117" s="242">
        <f t="shared" si="23"/>
        <v>0.901852371036594</v>
      </c>
      <c r="I117" s="157"/>
    </row>
    <row r="118" spans="1:9" ht="15.75">
      <c r="A118" s="164"/>
      <c r="B118" s="165">
        <f>DATE(18,5,1)</f>
        <v>6696</v>
      </c>
      <c r="C118" s="226">
        <v>122795806.81</v>
      </c>
      <c r="D118" s="226">
        <v>11899786.96</v>
      </c>
      <c r="E118" s="226">
        <v>10229034.26</v>
      </c>
      <c r="F118" s="166">
        <f t="shared" si="21"/>
        <v>0.16333435371639876</v>
      </c>
      <c r="G118" s="241">
        <f t="shared" si="22"/>
        <v>0.09690711164439314</v>
      </c>
      <c r="H118" s="242">
        <f t="shared" si="23"/>
        <v>0.9030928883556069</v>
      </c>
      <c r="I118" s="157"/>
    </row>
    <row r="119" spans="1:9" ht="15.75" thickBot="1">
      <c r="A119" s="167"/>
      <c r="B119" s="165"/>
      <c r="C119" s="226"/>
      <c r="D119" s="226"/>
      <c r="E119" s="226"/>
      <c r="F119" s="166"/>
      <c r="G119" s="241"/>
      <c r="H119" s="242"/>
      <c r="I119" s="157"/>
    </row>
    <row r="120" spans="1:9" ht="17.25" thickBot="1" thickTop="1">
      <c r="A120" s="174" t="s">
        <v>14</v>
      </c>
      <c r="B120" s="175"/>
      <c r="C120" s="228">
        <f>SUM(C108:C119)</f>
        <v>1247622643.74</v>
      </c>
      <c r="D120" s="230">
        <f>SUM(D108:D119)</f>
        <v>119079444.15</v>
      </c>
      <c r="E120" s="271">
        <f>SUM(E108:E119)</f>
        <v>99559948.43</v>
      </c>
      <c r="F120" s="176">
        <f>(+D120-E120)/E120</f>
        <v>0.1960577122408218</v>
      </c>
      <c r="G120" s="249">
        <f>D120/C120</f>
        <v>0.09544508088842905</v>
      </c>
      <c r="H120" s="270">
        <f>1-G120</f>
        <v>0.9045549191115709</v>
      </c>
      <c r="I120" s="157"/>
    </row>
    <row r="121" spans="1:9" ht="15.75" thickTop="1">
      <c r="A121" s="167"/>
      <c r="B121" s="179"/>
      <c r="C121" s="229"/>
      <c r="D121" s="229"/>
      <c r="E121" s="229"/>
      <c r="F121" s="180"/>
      <c r="G121" s="247"/>
      <c r="H121" s="248"/>
      <c r="I121" s="157"/>
    </row>
    <row r="122" spans="1:9" ht="15.75">
      <c r="A122" s="164" t="s">
        <v>18</v>
      </c>
      <c r="B122" s="165">
        <f>DATE(17,7,1)</f>
        <v>6392</v>
      </c>
      <c r="C122" s="226">
        <v>149607316.71</v>
      </c>
      <c r="D122" s="226">
        <v>13990899.67</v>
      </c>
      <c r="E122" s="226">
        <v>14874442.41</v>
      </c>
      <c r="F122" s="166">
        <f aca="true" t="shared" si="24" ref="F122:F132">(+D122-E122)/E122</f>
        <v>-0.05940005787416943</v>
      </c>
      <c r="G122" s="241">
        <f aca="true" t="shared" si="25" ref="G122:G132">D122/C122</f>
        <v>0.0935174828188388</v>
      </c>
      <c r="H122" s="242">
        <f aca="true" t="shared" si="26" ref="H122:H132">1-G122</f>
        <v>0.9064825171811612</v>
      </c>
      <c r="I122" s="157"/>
    </row>
    <row r="123" spans="1:9" ht="15.75">
      <c r="A123" s="164"/>
      <c r="B123" s="165">
        <f>DATE(17,8,1)</f>
        <v>6423</v>
      </c>
      <c r="C123" s="226">
        <v>139276395.92</v>
      </c>
      <c r="D123" s="226">
        <v>13373041.55</v>
      </c>
      <c r="E123" s="226">
        <v>13587466.12</v>
      </c>
      <c r="F123" s="166">
        <f t="shared" si="24"/>
        <v>-0.015781056460878847</v>
      </c>
      <c r="G123" s="241">
        <f t="shared" si="25"/>
        <v>0.09601800406783531</v>
      </c>
      <c r="H123" s="242">
        <f t="shared" si="26"/>
        <v>0.9039819959321647</v>
      </c>
      <c r="I123" s="157"/>
    </row>
    <row r="124" spans="1:9" ht="15.75">
      <c r="A124" s="164"/>
      <c r="B124" s="165">
        <f>DATE(17,9,1)</f>
        <v>6454</v>
      </c>
      <c r="C124" s="226">
        <v>145809880.77</v>
      </c>
      <c r="D124" s="226">
        <v>13392030.43</v>
      </c>
      <c r="E124" s="226">
        <v>13653509.51</v>
      </c>
      <c r="F124" s="166">
        <f t="shared" si="24"/>
        <v>-0.019151052687844804</v>
      </c>
      <c r="G124" s="241">
        <f t="shared" si="25"/>
        <v>0.09184583623056754</v>
      </c>
      <c r="H124" s="242">
        <f t="shared" si="26"/>
        <v>0.9081541637694325</v>
      </c>
      <c r="I124" s="157"/>
    </row>
    <row r="125" spans="1:9" ht="15.75">
      <c r="A125" s="164"/>
      <c r="B125" s="165">
        <f>DATE(17,10,1)</f>
        <v>6484</v>
      </c>
      <c r="C125" s="226">
        <v>137124347.25</v>
      </c>
      <c r="D125" s="226">
        <v>12769108.56</v>
      </c>
      <c r="E125" s="226">
        <v>13910961.09</v>
      </c>
      <c r="F125" s="166">
        <f t="shared" si="24"/>
        <v>-0.08208293608274332</v>
      </c>
      <c r="G125" s="241">
        <f t="shared" si="25"/>
        <v>0.09312065155518909</v>
      </c>
      <c r="H125" s="242">
        <f t="shared" si="26"/>
        <v>0.9068793484448109</v>
      </c>
      <c r="I125" s="157"/>
    </row>
    <row r="126" spans="1:9" ht="15.75">
      <c r="A126" s="164"/>
      <c r="B126" s="165">
        <f>DATE(17,11,1)</f>
        <v>6515</v>
      </c>
      <c r="C126" s="226">
        <v>132140000.6</v>
      </c>
      <c r="D126" s="226">
        <v>12739975.57</v>
      </c>
      <c r="E126" s="226">
        <v>13119547.64</v>
      </c>
      <c r="F126" s="166">
        <f t="shared" si="24"/>
        <v>-0.028931795547792245</v>
      </c>
      <c r="G126" s="241">
        <f t="shared" si="25"/>
        <v>0.09641271009650655</v>
      </c>
      <c r="H126" s="242">
        <f t="shared" si="26"/>
        <v>0.9035872899034935</v>
      </c>
      <c r="I126" s="157"/>
    </row>
    <row r="127" spans="1:9" ht="15.75">
      <c r="A127" s="164"/>
      <c r="B127" s="165">
        <f>DATE(17,12,1)</f>
        <v>6545</v>
      </c>
      <c r="C127" s="226">
        <v>145680241.12</v>
      </c>
      <c r="D127" s="226">
        <v>13705331.41</v>
      </c>
      <c r="E127" s="226">
        <v>13506446.31</v>
      </c>
      <c r="F127" s="166">
        <f t="shared" si="24"/>
        <v>0.01472519828200462</v>
      </c>
      <c r="G127" s="241">
        <f t="shared" si="25"/>
        <v>0.09407817631706566</v>
      </c>
      <c r="H127" s="242">
        <f t="shared" si="26"/>
        <v>0.9059218236829343</v>
      </c>
      <c r="I127" s="157"/>
    </row>
    <row r="128" spans="1:9" ht="15.75">
      <c r="A128" s="164"/>
      <c r="B128" s="165">
        <f>DATE(18,1,1)</f>
        <v>6576</v>
      </c>
      <c r="C128" s="226">
        <v>128203247.42</v>
      </c>
      <c r="D128" s="226">
        <v>12314929.47</v>
      </c>
      <c r="E128" s="226">
        <v>12650604.78</v>
      </c>
      <c r="F128" s="166">
        <f t="shared" si="24"/>
        <v>-0.02653432905679618</v>
      </c>
      <c r="G128" s="241">
        <f t="shared" si="25"/>
        <v>0.0960578590467034</v>
      </c>
      <c r="H128" s="242">
        <f t="shared" si="26"/>
        <v>0.9039421409532966</v>
      </c>
      <c r="I128" s="157"/>
    </row>
    <row r="129" spans="1:9" ht="15.75">
      <c r="A129" s="164"/>
      <c r="B129" s="165">
        <f>DATE(18,2,1)</f>
        <v>6607</v>
      </c>
      <c r="C129" s="226">
        <v>128906979.93</v>
      </c>
      <c r="D129" s="226">
        <v>12905800.56</v>
      </c>
      <c r="E129" s="226">
        <v>13965168.51</v>
      </c>
      <c r="F129" s="166">
        <f t="shared" si="24"/>
        <v>-0.07585787090513234</v>
      </c>
      <c r="G129" s="241">
        <f t="shared" si="25"/>
        <v>0.10011715864422703</v>
      </c>
      <c r="H129" s="242">
        <f t="shared" si="26"/>
        <v>0.899882841355773</v>
      </c>
      <c r="I129" s="157"/>
    </row>
    <row r="130" spans="1:9" ht="15.75">
      <c r="A130" s="164"/>
      <c r="B130" s="165">
        <f>DATE(18,3,1)</f>
        <v>6635</v>
      </c>
      <c r="C130" s="226">
        <v>159791555.81</v>
      </c>
      <c r="D130" s="226">
        <v>15707751.75</v>
      </c>
      <c r="E130" s="226">
        <v>15555765.15</v>
      </c>
      <c r="F130" s="166">
        <f t="shared" si="24"/>
        <v>0.009770435496707124</v>
      </c>
      <c r="G130" s="241">
        <f t="shared" si="25"/>
        <v>0.09830151330823318</v>
      </c>
      <c r="H130" s="242">
        <f t="shared" si="26"/>
        <v>0.9016984866917668</v>
      </c>
      <c r="I130" s="157"/>
    </row>
    <row r="131" spans="1:9" ht="15.75">
      <c r="A131" s="164"/>
      <c r="B131" s="165">
        <f>DATE(18,4,1)</f>
        <v>6666</v>
      </c>
      <c r="C131" s="226">
        <v>140555385.8</v>
      </c>
      <c r="D131" s="226">
        <v>13931794.98</v>
      </c>
      <c r="E131" s="226">
        <v>13929016.51</v>
      </c>
      <c r="F131" s="166">
        <f t="shared" si="24"/>
        <v>0.00019947352334645705</v>
      </c>
      <c r="G131" s="241">
        <f t="shared" si="25"/>
        <v>0.09911960968769935</v>
      </c>
      <c r="H131" s="242">
        <f t="shared" si="26"/>
        <v>0.9008803903123006</v>
      </c>
      <c r="I131" s="157"/>
    </row>
    <row r="132" spans="1:9" ht="15.75">
      <c r="A132" s="164"/>
      <c r="B132" s="165">
        <f>DATE(18,5,1)</f>
        <v>6696</v>
      </c>
      <c r="C132" s="226">
        <v>142057547.18</v>
      </c>
      <c r="D132" s="226">
        <v>14043474.58</v>
      </c>
      <c r="E132" s="226">
        <v>13479598.79</v>
      </c>
      <c r="F132" s="166">
        <f t="shared" si="24"/>
        <v>0.04183179327401932</v>
      </c>
      <c r="G132" s="241">
        <f t="shared" si="25"/>
        <v>0.09885764507960723</v>
      </c>
      <c r="H132" s="242">
        <f t="shared" si="26"/>
        <v>0.9011423549203927</v>
      </c>
      <c r="I132" s="157"/>
    </row>
    <row r="133" spans="1:9" ht="15.75" customHeight="1" thickBot="1">
      <c r="A133" s="164"/>
      <c r="B133" s="165"/>
      <c r="C133" s="226"/>
      <c r="D133" s="226"/>
      <c r="E133" s="226"/>
      <c r="F133" s="166"/>
      <c r="G133" s="241"/>
      <c r="H133" s="242"/>
      <c r="I133" s="157"/>
    </row>
    <row r="134" spans="1:9" ht="17.25" thickBot="1" thickTop="1">
      <c r="A134" s="174" t="s">
        <v>14</v>
      </c>
      <c r="B134" s="181"/>
      <c r="C134" s="228">
        <f>SUM(C122:C133)</f>
        <v>1549152898.51</v>
      </c>
      <c r="D134" s="228">
        <f>SUM(D122:D133)</f>
        <v>148874138.53</v>
      </c>
      <c r="E134" s="228">
        <f>SUM(E122:E133)</f>
        <v>152232526.82</v>
      </c>
      <c r="F134" s="176">
        <f>(+D134-E134)/E134</f>
        <v>-0.022060911423817827</v>
      </c>
      <c r="G134" s="245">
        <f>D134/C134</f>
        <v>0.09610035179431903</v>
      </c>
      <c r="H134" s="246">
        <f>1-G134</f>
        <v>0.9038996482056809</v>
      </c>
      <c r="I134" s="157"/>
    </row>
    <row r="135" spans="1:9" ht="15.75" thickTop="1">
      <c r="A135" s="171"/>
      <c r="B135" s="172"/>
      <c r="C135" s="227"/>
      <c r="D135" s="227"/>
      <c r="E135" s="227"/>
      <c r="F135" s="173"/>
      <c r="G135" s="243"/>
      <c r="H135" s="244"/>
      <c r="I135" s="157"/>
    </row>
    <row r="136" spans="1:9" ht="15.75">
      <c r="A136" s="164" t="s">
        <v>58</v>
      </c>
      <c r="B136" s="165">
        <f>DATE(17,7,1)</f>
        <v>6392</v>
      </c>
      <c r="C136" s="226">
        <v>187696645.78</v>
      </c>
      <c r="D136" s="226">
        <v>17449857.02</v>
      </c>
      <c r="E136" s="226">
        <v>18055170.59</v>
      </c>
      <c r="F136" s="166">
        <f aca="true" t="shared" si="27" ref="F136:F146">(+D136-E136)/E136</f>
        <v>-0.03352577407024102</v>
      </c>
      <c r="G136" s="241">
        <f aca="true" t="shared" si="28" ref="G136:G146">D136/C136</f>
        <v>0.09296840094016942</v>
      </c>
      <c r="H136" s="242">
        <f aca="true" t="shared" si="29" ref="H136:H146">1-G136</f>
        <v>0.9070315990598306</v>
      </c>
      <c r="I136" s="157"/>
    </row>
    <row r="137" spans="1:9" ht="15.75">
      <c r="A137" s="164"/>
      <c r="B137" s="165">
        <f>DATE(17,8,1)</f>
        <v>6423</v>
      </c>
      <c r="C137" s="226">
        <v>180877315.36</v>
      </c>
      <c r="D137" s="226">
        <v>16610228.17</v>
      </c>
      <c r="E137" s="226">
        <v>16341152.65</v>
      </c>
      <c r="F137" s="166">
        <f t="shared" si="27"/>
        <v>0.01646612853836841</v>
      </c>
      <c r="G137" s="241">
        <f t="shared" si="28"/>
        <v>0.09183146121414215</v>
      </c>
      <c r="H137" s="242">
        <f t="shared" si="29"/>
        <v>0.9081685387858578</v>
      </c>
      <c r="I137" s="157"/>
    </row>
    <row r="138" spans="1:9" ht="15.75">
      <c r="A138" s="164"/>
      <c r="B138" s="165">
        <f>DATE(17,9,1)</f>
        <v>6454</v>
      </c>
      <c r="C138" s="226">
        <v>179839451.12</v>
      </c>
      <c r="D138" s="226">
        <v>16301470.13</v>
      </c>
      <c r="E138" s="226">
        <v>15682621.27</v>
      </c>
      <c r="F138" s="166">
        <f t="shared" si="27"/>
        <v>0.03946080501120214</v>
      </c>
      <c r="G138" s="241">
        <f t="shared" si="28"/>
        <v>0.09064457230311858</v>
      </c>
      <c r="H138" s="242">
        <f t="shared" si="29"/>
        <v>0.9093554276968814</v>
      </c>
      <c r="I138" s="157"/>
    </row>
    <row r="139" spans="1:9" ht="15.75">
      <c r="A139" s="164"/>
      <c r="B139" s="165">
        <f>DATE(17,10,1)</f>
        <v>6484</v>
      </c>
      <c r="C139" s="226">
        <v>168519417.42</v>
      </c>
      <c r="D139" s="226">
        <v>15646297.04</v>
      </c>
      <c r="E139" s="226">
        <v>16857793.66</v>
      </c>
      <c r="F139" s="166">
        <f t="shared" si="27"/>
        <v>-0.07186566904509145</v>
      </c>
      <c r="G139" s="241">
        <f t="shared" si="28"/>
        <v>0.09284566300751457</v>
      </c>
      <c r="H139" s="242">
        <f t="shared" si="29"/>
        <v>0.9071543369924855</v>
      </c>
      <c r="I139" s="157"/>
    </row>
    <row r="140" spans="1:9" ht="15.75">
      <c r="A140" s="164"/>
      <c r="B140" s="165">
        <f>DATE(17,11,1)</f>
        <v>6515</v>
      </c>
      <c r="C140" s="226">
        <v>166126798.47</v>
      </c>
      <c r="D140" s="226">
        <v>15321390.57</v>
      </c>
      <c r="E140" s="226">
        <v>15363287.77</v>
      </c>
      <c r="F140" s="166">
        <f t="shared" si="27"/>
        <v>-0.0027270985629659437</v>
      </c>
      <c r="G140" s="241">
        <f t="shared" si="28"/>
        <v>0.09222708624440754</v>
      </c>
      <c r="H140" s="242">
        <f t="shared" si="29"/>
        <v>0.9077729137555924</v>
      </c>
      <c r="I140" s="157"/>
    </row>
    <row r="141" spans="1:9" ht="15.75">
      <c r="A141" s="164"/>
      <c r="B141" s="165">
        <f>DATE(17,12,1)</f>
        <v>6545</v>
      </c>
      <c r="C141" s="226">
        <v>182994085.67</v>
      </c>
      <c r="D141" s="226">
        <v>17108418.35</v>
      </c>
      <c r="E141" s="226">
        <v>16219530.86</v>
      </c>
      <c r="F141" s="166">
        <f t="shared" si="27"/>
        <v>0.05480352654293739</v>
      </c>
      <c r="G141" s="241">
        <f t="shared" si="28"/>
        <v>0.09349164639589634</v>
      </c>
      <c r="H141" s="242">
        <f t="shared" si="29"/>
        <v>0.9065083536041036</v>
      </c>
      <c r="I141" s="157"/>
    </row>
    <row r="142" spans="1:9" ht="15.75">
      <c r="A142" s="164"/>
      <c r="B142" s="165">
        <f>DATE(18,1,1)</f>
        <v>6576</v>
      </c>
      <c r="C142" s="226">
        <v>155933928.03</v>
      </c>
      <c r="D142" s="226">
        <v>14386363.66</v>
      </c>
      <c r="E142" s="226">
        <v>15641994.18</v>
      </c>
      <c r="F142" s="166">
        <f t="shared" si="27"/>
        <v>-0.08027304610594092</v>
      </c>
      <c r="G142" s="241">
        <f t="shared" si="28"/>
        <v>0.09225935523943332</v>
      </c>
      <c r="H142" s="242">
        <f t="shared" si="29"/>
        <v>0.9077406447605667</v>
      </c>
      <c r="I142" s="157"/>
    </row>
    <row r="143" spans="1:9" ht="15.75">
      <c r="A143" s="164"/>
      <c r="B143" s="165">
        <f>DATE(18,2,1)</f>
        <v>6607</v>
      </c>
      <c r="C143" s="226">
        <v>170530036.65</v>
      </c>
      <c r="D143" s="226">
        <v>15815880.54</v>
      </c>
      <c r="E143" s="226">
        <v>16555178.2</v>
      </c>
      <c r="F143" s="166">
        <f t="shared" si="27"/>
        <v>-0.04465658122604806</v>
      </c>
      <c r="G143" s="241">
        <f t="shared" si="28"/>
        <v>0.0927454239188425</v>
      </c>
      <c r="H143" s="242">
        <f t="shared" si="29"/>
        <v>0.9072545760811574</v>
      </c>
      <c r="I143" s="157"/>
    </row>
    <row r="144" spans="1:9" ht="15.75">
      <c r="A144" s="164"/>
      <c r="B144" s="165">
        <f>DATE(18,3,1)</f>
        <v>6635</v>
      </c>
      <c r="C144" s="226">
        <v>200634276.52</v>
      </c>
      <c r="D144" s="226">
        <v>19279509.88</v>
      </c>
      <c r="E144" s="226">
        <v>18234270.62</v>
      </c>
      <c r="F144" s="166">
        <f t="shared" si="27"/>
        <v>0.057322789695439864</v>
      </c>
      <c r="G144" s="241">
        <f t="shared" si="28"/>
        <v>0.09609280235861464</v>
      </c>
      <c r="H144" s="242">
        <f t="shared" si="29"/>
        <v>0.9039071976413854</v>
      </c>
      <c r="I144" s="157"/>
    </row>
    <row r="145" spans="1:9" ht="15.75">
      <c r="A145" s="164"/>
      <c r="B145" s="165">
        <f>DATE(18,4,1)</f>
        <v>6666</v>
      </c>
      <c r="C145" s="226">
        <v>177999446.93</v>
      </c>
      <c r="D145" s="226">
        <v>16670834.66</v>
      </c>
      <c r="E145" s="226">
        <v>17304134.78</v>
      </c>
      <c r="F145" s="166">
        <f t="shared" si="27"/>
        <v>-0.03659819621446574</v>
      </c>
      <c r="G145" s="241">
        <f t="shared" si="28"/>
        <v>0.09365666549826959</v>
      </c>
      <c r="H145" s="242">
        <f t="shared" si="29"/>
        <v>0.9063433345017304</v>
      </c>
      <c r="I145" s="157"/>
    </row>
    <row r="146" spans="1:9" ht="15.75">
      <c r="A146" s="164"/>
      <c r="B146" s="165">
        <f>DATE(18,5,1)</f>
        <v>6696</v>
      </c>
      <c r="C146" s="226">
        <v>175660470.14</v>
      </c>
      <c r="D146" s="226">
        <v>15937528.72</v>
      </c>
      <c r="E146" s="226">
        <v>16457511.54</v>
      </c>
      <c r="F146" s="166">
        <f t="shared" si="27"/>
        <v>-0.031595470477792445</v>
      </c>
      <c r="G146" s="241">
        <f t="shared" si="28"/>
        <v>0.09072917035516254</v>
      </c>
      <c r="H146" s="242">
        <f t="shared" si="29"/>
        <v>0.9092708296448375</v>
      </c>
      <c r="I146" s="157"/>
    </row>
    <row r="147" spans="1:9" ht="15.75" thickBot="1">
      <c r="A147" s="167"/>
      <c r="B147" s="168"/>
      <c r="C147" s="226"/>
      <c r="D147" s="226"/>
      <c r="E147" s="226"/>
      <c r="F147" s="166"/>
      <c r="G147" s="241"/>
      <c r="H147" s="242"/>
      <c r="I147" s="157"/>
    </row>
    <row r="148" spans="1:9" ht="17.25" thickBot="1" thickTop="1">
      <c r="A148" s="174" t="s">
        <v>14</v>
      </c>
      <c r="B148" s="175"/>
      <c r="C148" s="228">
        <f>SUM(C136:C147)</f>
        <v>1946811872.0900002</v>
      </c>
      <c r="D148" s="228">
        <f>SUM(D136:D147)</f>
        <v>180527778.73999998</v>
      </c>
      <c r="E148" s="228">
        <f>SUM(E136:E147)</f>
        <v>182712646.11999997</v>
      </c>
      <c r="F148" s="176">
        <f>(+D148-E148)/E148</f>
        <v>-0.011957942848493597</v>
      </c>
      <c r="G148" s="249">
        <f>D148/C148</f>
        <v>0.09272995574358932</v>
      </c>
      <c r="H148" s="270">
        <f>1-G148</f>
        <v>0.9072700442564107</v>
      </c>
      <c r="I148" s="157"/>
    </row>
    <row r="149" spans="1:9" ht="15.75" thickTop="1">
      <c r="A149" s="167"/>
      <c r="B149" s="168"/>
      <c r="C149" s="226"/>
      <c r="D149" s="226"/>
      <c r="E149" s="226"/>
      <c r="F149" s="166"/>
      <c r="G149" s="241"/>
      <c r="H149" s="242"/>
      <c r="I149" s="157"/>
    </row>
    <row r="150" spans="1:9" ht="15.75">
      <c r="A150" s="164" t="s">
        <v>59</v>
      </c>
      <c r="B150" s="165">
        <f>DATE(17,7,1)</f>
        <v>6392</v>
      </c>
      <c r="C150" s="226">
        <v>23593924.79</v>
      </c>
      <c r="D150" s="226">
        <v>2744349.13</v>
      </c>
      <c r="E150" s="226">
        <v>2795817.88</v>
      </c>
      <c r="F150" s="166">
        <f aca="true" t="shared" si="30" ref="F150:F160">(+D150-E150)/E150</f>
        <v>-0.01840919266171944</v>
      </c>
      <c r="G150" s="241">
        <f aca="true" t="shared" si="31" ref="G150:G160">D150/C150</f>
        <v>0.11631592261255148</v>
      </c>
      <c r="H150" s="242">
        <f aca="true" t="shared" si="32" ref="H150:H160">1-G150</f>
        <v>0.8836840773874485</v>
      </c>
      <c r="I150" s="157"/>
    </row>
    <row r="151" spans="1:9" ht="15.75">
      <c r="A151" s="164"/>
      <c r="B151" s="165">
        <f>DATE(17,8,1)</f>
        <v>6423</v>
      </c>
      <c r="C151" s="226">
        <v>21507122.18</v>
      </c>
      <c r="D151" s="226">
        <v>2540959.26</v>
      </c>
      <c r="E151" s="226">
        <v>2610502.16</v>
      </c>
      <c r="F151" s="166">
        <f t="shared" si="30"/>
        <v>-0.026639663841534753</v>
      </c>
      <c r="G151" s="241">
        <f t="shared" si="31"/>
        <v>0.11814501441587104</v>
      </c>
      <c r="H151" s="242">
        <f t="shared" si="32"/>
        <v>0.881854985584129</v>
      </c>
      <c r="I151" s="157"/>
    </row>
    <row r="152" spans="1:9" ht="15.75">
      <c r="A152" s="164"/>
      <c r="B152" s="165">
        <f>DATE(17,9,1)</f>
        <v>6454</v>
      </c>
      <c r="C152" s="226">
        <v>22920807.74</v>
      </c>
      <c r="D152" s="226">
        <v>2634253.17</v>
      </c>
      <c r="E152" s="226">
        <v>2597489.31</v>
      </c>
      <c r="F152" s="166">
        <f t="shared" si="30"/>
        <v>0.01415361359081007</v>
      </c>
      <c r="G152" s="241">
        <f t="shared" si="31"/>
        <v>0.11492846150455953</v>
      </c>
      <c r="H152" s="242">
        <f t="shared" si="32"/>
        <v>0.8850715384954405</v>
      </c>
      <c r="I152" s="157"/>
    </row>
    <row r="153" spans="1:9" ht="15.75">
      <c r="A153" s="164"/>
      <c r="B153" s="165">
        <f>DATE(17,10,1)</f>
        <v>6484</v>
      </c>
      <c r="C153" s="226">
        <v>20376782.81</v>
      </c>
      <c r="D153" s="226">
        <v>2351008.96</v>
      </c>
      <c r="E153" s="226">
        <v>2658718.15</v>
      </c>
      <c r="F153" s="166">
        <f t="shared" si="30"/>
        <v>-0.115735919582149</v>
      </c>
      <c r="G153" s="241">
        <f t="shared" si="31"/>
        <v>0.11537684736209838</v>
      </c>
      <c r="H153" s="242">
        <f t="shared" si="32"/>
        <v>0.8846231526379016</v>
      </c>
      <c r="I153" s="157"/>
    </row>
    <row r="154" spans="1:9" ht="15.75">
      <c r="A154" s="164"/>
      <c r="B154" s="165">
        <f>DATE(17,11,1)</f>
        <v>6515</v>
      </c>
      <c r="C154" s="226">
        <v>20648636.11</v>
      </c>
      <c r="D154" s="226">
        <v>2370134.99</v>
      </c>
      <c r="E154" s="226">
        <v>2541859.77</v>
      </c>
      <c r="F154" s="166">
        <f t="shared" si="30"/>
        <v>-0.06755871508993581</v>
      </c>
      <c r="G154" s="241">
        <f t="shared" si="31"/>
        <v>0.11478409408610574</v>
      </c>
      <c r="H154" s="242">
        <f t="shared" si="32"/>
        <v>0.8852159059138942</v>
      </c>
      <c r="I154" s="157"/>
    </row>
    <row r="155" spans="1:9" ht="15.75">
      <c r="A155" s="164"/>
      <c r="B155" s="165">
        <f>DATE(17,12,1)</f>
        <v>6545</v>
      </c>
      <c r="C155" s="226">
        <v>21570745.19</v>
      </c>
      <c r="D155" s="226">
        <v>2474390.43</v>
      </c>
      <c r="E155" s="226">
        <v>2574078.09</v>
      </c>
      <c r="F155" s="166">
        <f t="shared" si="30"/>
        <v>-0.0387275197233817</v>
      </c>
      <c r="G155" s="241">
        <f t="shared" si="31"/>
        <v>0.11471047514608372</v>
      </c>
      <c r="H155" s="242">
        <f t="shared" si="32"/>
        <v>0.8852895248539163</v>
      </c>
      <c r="I155" s="157"/>
    </row>
    <row r="156" spans="1:9" ht="15.75">
      <c r="A156" s="164"/>
      <c r="B156" s="165">
        <f>DATE(18,1,1)</f>
        <v>6576</v>
      </c>
      <c r="C156" s="226">
        <v>20773090.6</v>
      </c>
      <c r="D156" s="226">
        <v>2393011.98</v>
      </c>
      <c r="E156" s="226">
        <v>2540085.31</v>
      </c>
      <c r="F156" s="166">
        <f t="shared" si="30"/>
        <v>-0.05790094113020167</v>
      </c>
      <c r="G156" s="241">
        <f t="shared" si="31"/>
        <v>0.11519768656860331</v>
      </c>
      <c r="H156" s="242">
        <f t="shared" si="32"/>
        <v>0.8848023134313967</v>
      </c>
      <c r="I156" s="157"/>
    </row>
    <row r="157" spans="1:9" ht="15.75">
      <c r="A157" s="164"/>
      <c r="B157" s="165">
        <f>DATE(18,2,1)</f>
        <v>6607</v>
      </c>
      <c r="C157" s="226">
        <v>21720854.06</v>
      </c>
      <c r="D157" s="226">
        <v>2447889.15</v>
      </c>
      <c r="E157" s="226">
        <v>2700948.11</v>
      </c>
      <c r="F157" s="166">
        <f t="shared" si="30"/>
        <v>-0.09369264039656058</v>
      </c>
      <c r="G157" s="241">
        <f t="shared" si="31"/>
        <v>0.11269764730420549</v>
      </c>
      <c r="H157" s="242">
        <f t="shared" si="32"/>
        <v>0.8873023526957945</v>
      </c>
      <c r="I157" s="157"/>
    </row>
    <row r="158" spans="1:9" ht="15.75">
      <c r="A158" s="164"/>
      <c r="B158" s="165">
        <f>DATE(18,3,1)</f>
        <v>6635</v>
      </c>
      <c r="C158" s="226">
        <v>29666808.77</v>
      </c>
      <c r="D158" s="226">
        <v>3412980.94</v>
      </c>
      <c r="E158" s="226">
        <v>3060470.22</v>
      </c>
      <c r="F158" s="166">
        <f t="shared" si="30"/>
        <v>0.11518188208346615</v>
      </c>
      <c r="G158" s="241">
        <f t="shared" si="31"/>
        <v>0.11504375028875072</v>
      </c>
      <c r="H158" s="242">
        <f t="shared" si="32"/>
        <v>0.8849562497112493</v>
      </c>
      <c r="I158" s="157"/>
    </row>
    <row r="159" spans="1:9" ht="15.75">
      <c r="A159" s="164"/>
      <c r="B159" s="165">
        <f>DATE(18,4,1)</f>
        <v>6666</v>
      </c>
      <c r="C159" s="226">
        <v>24633726.64</v>
      </c>
      <c r="D159" s="226">
        <v>2736386.51</v>
      </c>
      <c r="E159" s="226">
        <v>2775007.55</v>
      </c>
      <c r="F159" s="166">
        <f t="shared" si="30"/>
        <v>-0.013917454026386358</v>
      </c>
      <c r="G159" s="241">
        <f t="shared" si="31"/>
        <v>0.11108292910731106</v>
      </c>
      <c r="H159" s="242">
        <f t="shared" si="32"/>
        <v>0.8889170708926889</v>
      </c>
      <c r="I159" s="157"/>
    </row>
    <row r="160" spans="1:9" ht="15.75">
      <c r="A160" s="164"/>
      <c r="B160" s="165">
        <f>DATE(18,5,1)</f>
        <v>6696</v>
      </c>
      <c r="C160" s="226">
        <v>24048668.44</v>
      </c>
      <c r="D160" s="226">
        <v>2770489.93</v>
      </c>
      <c r="E160" s="226">
        <v>2708749.16</v>
      </c>
      <c r="F160" s="166">
        <f t="shared" si="30"/>
        <v>0.022793092439759174</v>
      </c>
      <c r="G160" s="241">
        <f t="shared" si="31"/>
        <v>0.11520346487840721</v>
      </c>
      <c r="H160" s="242">
        <f t="shared" si="32"/>
        <v>0.8847965351215927</v>
      </c>
      <c r="I160" s="157"/>
    </row>
    <row r="161" spans="1:9" ht="15.75" thickBot="1">
      <c r="A161" s="167"/>
      <c r="B161" s="168"/>
      <c r="C161" s="226"/>
      <c r="D161" s="226"/>
      <c r="E161" s="226"/>
      <c r="F161" s="166"/>
      <c r="G161" s="241"/>
      <c r="H161" s="242"/>
      <c r="I161" s="157"/>
    </row>
    <row r="162" spans="1:9" ht="17.25" thickBot="1" thickTop="1">
      <c r="A162" s="182" t="s">
        <v>14</v>
      </c>
      <c r="B162" s="183"/>
      <c r="C162" s="230">
        <f>SUM(C150:C161)</f>
        <v>251461167.32999998</v>
      </c>
      <c r="D162" s="230">
        <f>SUM(D150:D161)</f>
        <v>28875854.449999996</v>
      </c>
      <c r="E162" s="230">
        <f>SUM(E150:E161)</f>
        <v>29563725.709999997</v>
      </c>
      <c r="F162" s="176">
        <f>(+D162-E162)/E162</f>
        <v>-0.023267407726196284</v>
      </c>
      <c r="G162" s="249">
        <f>D162/C162</f>
        <v>0.11483226120598315</v>
      </c>
      <c r="H162" s="246">
        <f>1-G162</f>
        <v>0.8851677387940169</v>
      </c>
      <c r="I162" s="157"/>
    </row>
    <row r="163" spans="1:9" ht="15.75" thickTop="1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5.75">
      <c r="A164" s="164" t="s">
        <v>40</v>
      </c>
      <c r="B164" s="165">
        <f>DATE(17,7,1)</f>
        <v>6392</v>
      </c>
      <c r="C164" s="226">
        <v>226837676.51</v>
      </c>
      <c r="D164" s="226">
        <v>20250233.59</v>
      </c>
      <c r="E164" s="226">
        <v>20041496.31</v>
      </c>
      <c r="F164" s="166">
        <f aca="true" t="shared" si="33" ref="F164:F174">(+D164-E164)/E164</f>
        <v>0.010415254269006285</v>
      </c>
      <c r="G164" s="241">
        <f aca="true" t="shared" si="34" ref="G164:G174">D164/C164</f>
        <v>0.08927191417915657</v>
      </c>
      <c r="H164" s="242">
        <f aca="true" t="shared" si="35" ref="H164:H174">1-G164</f>
        <v>0.9107280858208434</v>
      </c>
      <c r="I164" s="157"/>
    </row>
    <row r="165" spans="1:9" ht="15.75">
      <c r="A165" s="164"/>
      <c r="B165" s="165">
        <f>DATE(17,8,1)</f>
        <v>6423</v>
      </c>
      <c r="C165" s="226">
        <v>203505092.13</v>
      </c>
      <c r="D165" s="226">
        <v>18649872.98</v>
      </c>
      <c r="E165" s="226">
        <v>18005684.83</v>
      </c>
      <c r="F165" s="166">
        <f t="shared" si="33"/>
        <v>0.03577693134596549</v>
      </c>
      <c r="G165" s="241">
        <f t="shared" si="34"/>
        <v>0.09164327430237655</v>
      </c>
      <c r="H165" s="242">
        <f t="shared" si="35"/>
        <v>0.9083567256976235</v>
      </c>
      <c r="I165" s="157"/>
    </row>
    <row r="166" spans="1:9" ht="15.75">
      <c r="A166" s="164"/>
      <c r="B166" s="165">
        <f>DATE(17,9,1)</f>
        <v>6454</v>
      </c>
      <c r="C166" s="226">
        <v>207713230.86</v>
      </c>
      <c r="D166" s="226">
        <v>18449653.52</v>
      </c>
      <c r="E166" s="226">
        <v>18830129.89</v>
      </c>
      <c r="F166" s="166">
        <f t="shared" si="33"/>
        <v>-0.020205722011618105</v>
      </c>
      <c r="G166" s="241">
        <f t="shared" si="34"/>
        <v>0.08882271699117318</v>
      </c>
      <c r="H166" s="242">
        <f t="shared" si="35"/>
        <v>0.9111772830088268</v>
      </c>
      <c r="I166" s="157"/>
    </row>
    <row r="167" spans="1:9" ht="15.75">
      <c r="A167" s="164"/>
      <c r="B167" s="165">
        <f>DATE(17,10,1)</f>
        <v>6484</v>
      </c>
      <c r="C167" s="226">
        <v>205445724.16</v>
      </c>
      <c r="D167" s="226">
        <v>17943427.35</v>
      </c>
      <c r="E167" s="226">
        <v>18755897.64</v>
      </c>
      <c r="F167" s="166">
        <f t="shared" si="33"/>
        <v>-0.04331812348278518</v>
      </c>
      <c r="G167" s="241">
        <f t="shared" si="34"/>
        <v>0.08733901580753153</v>
      </c>
      <c r="H167" s="242">
        <f t="shared" si="35"/>
        <v>0.9126609841924684</v>
      </c>
      <c r="I167" s="157"/>
    </row>
    <row r="168" spans="1:9" ht="15.75">
      <c r="A168" s="164"/>
      <c r="B168" s="165">
        <f>DATE(17,11,1)</f>
        <v>6515</v>
      </c>
      <c r="C168" s="226">
        <v>202500755.18</v>
      </c>
      <c r="D168" s="226">
        <v>17723437.11</v>
      </c>
      <c r="E168" s="226">
        <v>17341075.18</v>
      </c>
      <c r="F168" s="166">
        <f t="shared" si="33"/>
        <v>0.022049493819217714</v>
      </c>
      <c r="G168" s="241">
        <f t="shared" si="34"/>
        <v>0.08752281982477493</v>
      </c>
      <c r="H168" s="242">
        <f t="shared" si="35"/>
        <v>0.9124771801752251</v>
      </c>
      <c r="I168" s="157"/>
    </row>
    <row r="169" spans="1:9" ht="15.75">
      <c r="A169" s="164"/>
      <c r="B169" s="165">
        <f>DATE(17,12,1)</f>
        <v>6545</v>
      </c>
      <c r="C169" s="226">
        <v>216163576.61</v>
      </c>
      <c r="D169" s="226">
        <v>18728361.25</v>
      </c>
      <c r="E169" s="226">
        <v>18716969.5</v>
      </c>
      <c r="F169" s="166">
        <f t="shared" si="33"/>
        <v>0.0006086321826832062</v>
      </c>
      <c r="G169" s="241">
        <f t="shared" si="34"/>
        <v>0.08663976394038625</v>
      </c>
      <c r="H169" s="242">
        <f t="shared" si="35"/>
        <v>0.9133602360596138</v>
      </c>
      <c r="I169" s="157"/>
    </row>
    <row r="170" spans="1:9" ht="15.75">
      <c r="A170" s="164"/>
      <c r="B170" s="165">
        <f>DATE(18,1,1)</f>
        <v>6576</v>
      </c>
      <c r="C170" s="226">
        <v>193901004.59</v>
      </c>
      <c r="D170" s="226">
        <v>16953191</v>
      </c>
      <c r="E170" s="226">
        <v>16940330.17</v>
      </c>
      <c r="F170" s="166">
        <f t="shared" si="33"/>
        <v>0.000759184140505935</v>
      </c>
      <c r="G170" s="241">
        <f t="shared" si="34"/>
        <v>0.08743219786739734</v>
      </c>
      <c r="H170" s="242">
        <f t="shared" si="35"/>
        <v>0.9125678021326027</v>
      </c>
      <c r="I170" s="157"/>
    </row>
    <row r="171" spans="1:9" ht="15.75">
      <c r="A171" s="164"/>
      <c r="B171" s="165">
        <f>DATE(18,2,1)</f>
        <v>6607</v>
      </c>
      <c r="C171" s="226">
        <v>195611002.13</v>
      </c>
      <c r="D171" s="226">
        <v>18138655.68</v>
      </c>
      <c r="E171" s="226">
        <v>18602686.64</v>
      </c>
      <c r="F171" s="166">
        <f t="shared" si="33"/>
        <v>-0.024944298045758023</v>
      </c>
      <c r="G171" s="241">
        <f t="shared" si="34"/>
        <v>0.09272819771121736</v>
      </c>
      <c r="H171" s="242">
        <f t="shared" si="35"/>
        <v>0.9072718022887827</v>
      </c>
      <c r="I171" s="157"/>
    </row>
    <row r="172" spans="1:9" ht="15.75">
      <c r="A172" s="164"/>
      <c r="B172" s="165">
        <f>DATE(18,3,1)</f>
        <v>6635</v>
      </c>
      <c r="C172" s="226">
        <v>242846069.3</v>
      </c>
      <c r="D172" s="226">
        <v>21744558.07</v>
      </c>
      <c r="E172" s="226">
        <v>21096281.87</v>
      </c>
      <c r="F172" s="166">
        <f t="shared" si="33"/>
        <v>0.030729405494049705</v>
      </c>
      <c r="G172" s="241">
        <f t="shared" si="34"/>
        <v>0.08954049836045667</v>
      </c>
      <c r="H172" s="242">
        <f t="shared" si="35"/>
        <v>0.9104595016395434</v>
      </c>
      <c r="I172" s="157"/>
    </row>
    <row r="173" spans="1:9" ht="15.75">
      <c r="A173" s="164"/>
      <c r="B173" s="165">
        <f>DATE(18,4,1)</f>
        <v>6666</v>
      </c>
      <c r="C173" s="226">
        <v>222069490.84</v>
      </c>
      <c r="D173" s="226">
        <v>19265202.35</v>
      </c>
      <c r="E173" s="226">
        <v>19362289.06</v>
      </c>
      <c r="F173" s="166">
        <f t="shared" si="33"/>
        <v>-0.005014216537060478</v>
      </c>
      <c r="G173" s="241">
        <f t="shared" si="34"/>
        <v>0.08675303517438371</v>
      </c>
      <c r="H173" s="242">
        <f t="shared" si="35"/>
        <v>0.9132469648256163</v>
      </c>
      <c r="I173" s="157"/>
    </row>
    <row r="174" spans="1:9" ht="15.75">
      <c r="A174" s="164"/>
      <c r="B174" s="165">
        <f>DATE(18,5,1)</f>
        <v>6696</v>
      </c>
      <c r="C174" s="226">
        <v>213881700.53</v>
      </c>
      <c r="D174" s="226">
        <v>19274378.74</v>
      </c>
      <c r="E174" s="226">
        <v>19517717.72</v>
      </c>
      <c r="F174" s="166">
        <f t="shared" si="33"/>
        <v>-0.012467593982602207</v>
      </c>
      <c r="G174" s="241">
        <f t="shared" si="34"/>
        <v>0.09011700716909388</v>
      </c>
      <c r="H174" s="242">
        <f t="shared" si="35"/>
        <v>0.9098829928309061</v>
      </c>
      <c r="I174" s="157"/>
    </row>
    <row r="175" spans="1:9" ht="15.75" thickBot="1">
      <c r="A175" s="167"/>
      <c r="B175" s="168"/>
      <c r="C175" s="226"/>
      <c r="D175" s="226"/>
      <c r="E175" s="226"/>
      <c r="F175" s="166"/>
      <c r="G175" s="241"/>
      <c r="H175" s="242"/>
      <c r="I175" s="157"/>
    </row>
    <row r="176" spans="1:9" ht="17.25" thickBot="1" thickTop="1">
      <c r="A176" s="174" t="s">
        <v>14</v>
      </c>
      <c r="B176" s="175"/>
      <c r="C176" s="228">
        <f>SUM(C164:C175)</f>
        <v>2330475322.8399997</v>
      </c>
      <c r="D176" s="228">
        <f>SUM(D164:D175)</f>
        <v>207120971.64</v>
      </c>
      <c r="E176" s="228">
        <f>SUM(E164:E175)</f>
        <v>207210558.81</v>
      </c>
      <c r="F176" s="176">
        <f>(+D176-E176)/E176</f>
        <v>-0.00043234847931742173</v>
      </c>
      <c r="G176" s="245">
        <f>D176/C176</f>
        <v>0.08887499026919325</v>
      </c>
      <c r="H176" s="246">
        <f>1-G176</f>
        <v>0.9111250097308068</v>
      </c>
      <c r="I176" s="157"/>
    </row>
    <row r="177" spans="1:9" ht="15.75" thickTop="1">
      <c r="A177" s="167"/>
      <c r="B177" s="168"/>
      <c r="C177" s="226"/>
      <c r="D177" s="226"/>
      <c r="E177" s="226"/>
      <c r="F177" s="166"/>
      <c r="G177" s="241"/>
      <c r="H177" s="242"/>
      <c r="I177" s="157"/>
    </row>
    <row r="178" spans="1:9" ht="15.75">
      <c r="A178" s="164" t="s">
        <v>64</v>
      </c>
      <c r="B178" s="165">
        <f>DATE(17,7,1)</f>
        <v>6392</v>
      </c>
      <c r="C178" s="226">
        <v>26722604.05</v>
      </c>
      <c r="D178" s="226">
        <v>3031134.15</v>
      </c>
      <c r="E178" s="226">
        <v>3216307.57</v>
      </c>
      <c r="F178" s="166">
        <f aca="true" t="shared" si="36" ref="F178:F188">(+D178-E178)/E178</f>
        <v>-0.057573293588958574</v>
      </c>
      <c r="G178" s="241">
        <f aca="true" t="shared" si="37" ref="G178:G188">D178/C178</f>
        <v>0.11342959482273958</v>
      </c>
      <c r="H178" s="242">
        <f aca="true" t="shared" si="38" ref="H178:H188">1-G178</f>
        <v>0.8865704051772604</v>
      </c>
      <c r="I178" s="157"/>
    </row>
    <row r="179" spans="1:9" ht="15.75">
      <c r="A179" s="164"/>
      <c r="B179" s="165">
        <f>DATE(17,8,1)</f>
        <v>6423</v>
      </c>
      <c r="C179" s="226">
        <v>27214005.58</v>
      </c>
      <c r="D179" s="226">
        <v>3021204.93</v>
      </c>
      <c r="E179" s="226">
        <v>3011271.54</v>
      </c>
      <c r="F179" s="166">
        <f t="shared" si="36"/>
        <v>0.003298736054869409</v>
      </c>
      <c r="G179" s="241">
        <f t="shared" si="37"/>
        <v>0.11101654701725833</v>
      </c>
      <c r="H179" s="242">
        <f t="shared" si="38"/>
        <v>0.8889834529827416</v>
      </c>
      <c r="I179" s="157"/>
    </row>
    <row r="180" spans="1:9" ht="15.75">
      <c r="A180" s="164"/>
      <c r="B180" s="165">
        <f>DATE(17,9,1)</f>
        <v>6454</v>
      </c>
      <c r="C180" s="226">
        <v>29416618.56</v>
      </c>
      <c r="D180" s="226">
        <v>3254625.5</v>
      </c>
      <c r="E180" s="226">
        <v>2994225.71</v>
      </c>
      <c r="F180" s="166">
        <f t="shared" si="36"/>
        <v>0.08696732151164384</v>
      </c>
      <c r="G180" s="241">
        <f t="shared" si="37"/>
        <v>0.11063900812942384</v>
      </c>
      <c r="H180" s="242">
        <f t="shared" si="38"/>
        <v>0.8893609918705762</v>
      </c>
      <c r="I180" s="157"/>
    </row>
    <row r="181" spans="1:9" ht="15.75">
      <c r="A181" s="164"/>
      <c r="B181" s="165">
        <f>DATE(17,10,1)</f>
        <v>6484</v>
      </c>
      <c r="C181" s="226">
        <v>28240080.8</v>
      </c>
      <c r="D181" s="226">
        <v>3125463.3</v>
      </c>
      <c r="E181" s="226">
        <v>2995512.05</v>
      </c>
      <c r="F181" s="166">
        <f t="shared" si="36"/>
        <v>0.043381982055455265</v>
      </c>
      <c r="G181" s="241">
        <f t="shared" si="37"/>
        <v>0.11067472937258734</v>
      </c>
      <c r="H181" s="242">
        <f t="shared" si="38"/>
        <v>0.8893252706274126</v>
      </c>
      <c r="I181" s="157"/>
    </row>
    <row r="182" spans="1:9" ht="15.75">
      <c r="A182" s="164"/>
      <c r="B182" s="165">
        <f>DATE(17,11,1)</f>
        <v>6515</v>
      </c>
      <c r="C182" s="226">
        <v>28823289.36</v>
      </c>
      <c r="D182" s="226">
        <v>3210022.57</v>
      </c>
      <c r="E182" s="226">
        <v>2860580.01</v>
      </c>
      <c r="F182" s="166">
        <f t="shared" si="36"/>
        <v>0.12215793957114315</v>
      </c>
      <c r="G182" s="241">
        <f t="shared" si="37"/>
        <v>0.11136905749746807</v>
      </c>
      <c r="H182" s="242">
        <f t="shared" si="38"/>
        <v>0.8886309425025319</v>
      </c>
      <c r="I182" s="157"/>
    </row>
    <row r="183" spans="1:9" ht="15.75">
      <c r="A183" s="164"/>
      <c r="B183" s="165">
        <f>DATE(17,12,1)</f>
        <v>6545</v>
      </c>
      <c r="C183" s="226">
        <v>31139345.86</v>
      </c>
      <c r="D183" s="226">
        <v>3515871.15</v>
      </c>
      <c r="E183" s="226">
        <v>3126363.15</v>
      </c>
      <c r="F183" s="166">
        <f t="shared" si="36"/>
        <v>0.12458821362451128</v>
      </c>
      <c r="G183" s="241">
        <f t="shared" si="37"/>
        <v>0.11290767525455013</v>
      </c>
      <c r="H183" s="242">
        <f t="shared" si="38"/>
        <v>0.8870923247454499</v>
      </c>
      <c r="I183" s="157"/>
    </row>
    <row r="184" spans="1:9" ht="15.75">
      <c r="A184" s="164"/>
      <c r="B184" s="165">
        <f>DATE(18,1,1)</f>
        <v>6576</v>
      </c>
      <c r="C184" s="226">
        <v>27912991.36</v>
      </c>
      <c r="D184" s="226">
        <v>3085963.24</v>
      </c>
      <c r="E184" s="226">
        <v>2998319.34</v>
      </c>
      <c r="F184" s="166">
        <f t="shared" si="36"/>
        <v>0.02923100912926786</v>
      </c>
      <c r="G184" s="241">
        <f t="shared" si="37"/>
        <v>0.11055652187899363</v>
      </c>
      <c r="H184" s="242">
        <f t="shared" si="38"/>
        <v>0.8894434781210063</v>
      </c>
      <c r="I184" s="157"/>
    </row>
    <row r="185" spans="1:9" ht="15.75">
      <c r="A185" s="164"/>
      <c r="B185" s="165">
        <f>DATE(18,2,1)</f>
        <v>6607</v>
      </c>
      <c r="C185" s="226">
        <v>29229612.4</v>
      </c>
      <c r="D185" s="226">
        <v>3332057.19</v>
      </c>
      <c r="E185" s="226">
        <v>3249635.79</v>
      </c>
      <c r="F185" s="166">
        <f t="shared" si="36"/>
        <v>0.02536327309467499</v>
      </c>
      <c r="G185" s="241">
        <f t="shared" si="37"/>
        <v>0.11399594166359867</v>
      </c>
      <c r="H185" s="242">
        <f t="shared" si="38"/>
        <v>0.8860040583364013</v>
      </c>
      <c r="I185" s="157"/>
    </row>
    <row r="186" spans="1:9" ht="15.75">
      <c r="A186" s="164"/>
      <c r="B186" s="165">
        <f>DATE(18,3,1)</f>
        <v>6635</v>
      </c>
      <c r="C186" s="226">
        <v>37059131.01</v>
      </c>
      <c r="D186" s="226">
        <v>4151066.17</v>
      </c>
      <c r="E186" s="226">
        <v>3641719.4</v>
      </c>
      <c r="F186" s="166">
        <f t="shared" si="36"/>
        <v>0.13986436461853707</v>
      </c>
      <c r="G186" s="241">
        <f t="shared" si="37"/>
        <v>0.11201196727683335</v>
      </c>
      <c r="H186" s="242">
        <f t="shared" si="38"/>
        <v>0.8879880327231666</v>
      </c>
      <c r="I186" s="157"/>
    </row>
    <row r="187" spans="1:9" ht="15.75">
      <c r="A187" s="164"/>
      <c r="B187" s="165">
        <f>DATE(18,4,1)</f>
        <v>6666</v>
      </c>
      <c r="C187" s="226">
        <v>32520421.58</v>
      </c>
      <c r="D187" s="226">
        <v>3563936.22</v>
      </c>
      <c r="E187" s="226">
        <v>3246502.74</v>
      </c>
      <c r="F187" s="166">
        <f t="shared" si="36"/>
        <v>0.09777705593434982</v>
      </c>
      <c r="G187" s="241">
        <f t="shared" si="37"/>
        <v>0.10959071398360391</v>
      </c>
      <c r="H187" s="242">
        <f t="shared" si="38"/>
        <v>0.8904092860163961</v>
      </c>
      <c r="I187" s="157"/>
    </row>
    <row r="188" spans="1:9" ht="15.75">
      <c r="A188" s="164"/>
      <c r="B188" s="165">
        <f>DATE(18,5,1)</f>
        <v>6696</v>
      </c>
      <c r="C188" s="226">
        <v>31363598.36</v>
      </c>
      <c r="D188" s="226">
        <v>3456043.42</v>
      </c>
      <c r="E188" s="226">
        <v>3063738.83</v>
      </c>
      <c r="F188" s="166">
        <f t="shared" si="36"/>
        <v>0.12804766064214418</v>
      </c>
      <c r="G188" s="241">
        <f t="shared" si="37"/>
        <v>0.11019282227538384</v>
      </c>
      <c r="H188" s="242">
        <f t="shared" si="38"/>
        <v>0.8898071777246161</v>
      </c>
      <c r="I188" s="157"/>
    </row>
    <row r="189" spans="1:9" ht="15.75" thickBot="1">
      <c r="A189" s="167"/>
      <c r="B189" s="168"/>
      <c r="C189" s="226"/>
      <c r="D189" s="226"/>
      <c r="E189" s="226"/>
      <c r="F189" s="166"/>
      <c r="G189" s="241"/>
      <c r="H189" s="242"/>
      <c r="I189" s="157"/>
    </row>
    <row r="190" spans="1:9" ht="17.25" thickBot="1" thickTop="1">
      <c r="A190" s="169" t="s">
        <v>14</v>
      </c>
      <c r="B190" s="155"/>
      <c r="C190" s="223">
        <f>SUM(C178:C189)</f>
        <v>329641698.92</v>
      </c>
      <c r="D190" s="223">
        <f>SUM(D178:D189)</f>
        <v>36747387.839999996</v>
      </c>
      <c r="E190" s="223">
        <f>SUM(E178:E189)</f>
        <v>34404176.129999995</v>
      </c>
      <c r="F190" s="176">
        <f>(+D190-E190)/E190</f>
        <v>0.06810835118230751</v>
      </c>
      <c r="G190" s="245">
        <f>D190/C190</f>
        <v>0.11147675782643668</v>
      </c>
      <c r="H190" s="246">
        <f>1-G190</f>
        <v>0.8885232421735634</v>
      </c>
      <c r="I190" s="157"/>
    </row>
    <row r="191" spans="1:9" ht="16.5" thickBot="1" thickTop="1">
      <c r="A191" s="171"/>
      <c r="B191" s="172"/>
      <c r="C191" s="227"/>
      <c r="D191" s="227"/>
      <c r="E191" s="227"/>
      <c r="F191" s="173"/>
      <c r="G191" s="243"/>
      <c r="H191" s="244"/>
      <c r="I191" s="157"/>
    </row>
    <row r="192" spans="1:9" ht="17.25" thickBot="1" thickTop="1">
      <c r="A192" s="184" t="s">
        <v>41</v>
      </c>
      <c r="B192" s="155"/>
      <c r="C192" s="223">
        <f>C190+C176+C134+C106+C78+C50+C22+C64+C162+C36+C120+C148+C92</f>
        <v>14265302199.479998</v>
      </c>
      <c r="D192" s="223">
        <f>D190+D176+D134+D106+D78+D50+D22+D64+D162+D36+D120+D148+D92</f>
        <v>1370366771.8100002</v>
      </c>
      <c r="E192" s="223">
        <f>E190+E176+E134+E106+E78+E50+E22+E64+E162+E36+E120+E148+E92</f>
        <v>1356723980.14</v>
      </c>
      <c r="F192" s="170">
        <f>(+D192-E192)/E192</f>
        <v>0.01005568698549301</v>
      </c>
      <c r="G192" s="236">
        <f>D192/C192</f>
        <v>0.09606293316800209</v>
      </c>
      <c r="H192" s="237">
        <f>1-G192</f>
        <v>0.9039370668319979</v>
      </c>
      <c r="I192" s="157"/>
    </row>
    <row r="193" spans="1:9" ht="17.25" thickBot="1" thickTop="1">
      <c r="A193" s="184"/>
      <c r="B193" s="155"/>
      <c r="C193" s="223"/>
      <c r="D193" s="223"/>
      <c r="E193" s="223"/>
      <c r="F193" s="170"/>
      <c r="G193" s="236"/>
      <c r="H193" s="237"/>
      <c r="I193" s="157"/>
    </row>
    <row r="194" spans="1:9" ht="17.25" thickBot="1" thickTop="1">
      <c r="A194" s="184" t="s">
        <v>42</v>
      </c>
      <c r="B194" s="155"/>
      <c r="C194" s="223">
        <f>+C20+C34+C48+C62+C76+C90+C104+C118+C132+C146+C160+C174+C188</f>
        <v>1303070469.77</v>
      </c>
      <c r="D194" s="223">
        <f>+D20+D34+D48+D62+D76+D90+D104+D118+D132+D146+D160+D174+D188</f>
        <v>125526989.85000001</v>
      </c>
      <c r="E194" s="223">
        <f>+E20+E34+E48+E62+E76+E90+E104+E118+E132+E146+E160+E174+E188</f>
        <v>126055010.46</v>
      </c>
      <c r="F194" s="170">
        <f>(+D194-E194)/E194</f>
        <v>-0.004188810964936114</v>
      </c>
      <c r="G194" s="236">
        <f>D194/C194</f>
        <v>0.09633169714309948</v>
      </c>
      <c r="H194" s="246">
        <f>1-G194</f>
        <v>0.9036683028569005</v>
      </c>
      <c r="I194" s="157"/>
    </row>
    <row r="195" spans="1:9" ht="16.5" thickTop="1">
      <c r="A195" s="185"/>
      <c r="B195" s="186"/>
      <c r="C195" s="231"/>
      <c r="D195" s="231"/>
      <c r="E195" s="231"/>
      <c r="F195" s="187"/>
      <c r="G195" s="250"/>
      <c r="H195" s="250"/>
      <c r="I195" s="151"/>
    </row>
    <row r="196" spans="1:9" ht="16.5" customHeight="1">
      <c r="A196" s="188" t="s">
        <v>52</v>
      </c>
      <c r="B196" s="189"/>
      <c r="C196" s="232"/>
      <c r="D196" s="232"/>
      <c r="E196" s="232"/>
      <c r="F196" s="190"/>
      <c r="G196" s="251"/>
      <c r="H196" s="251"/>
      <c r="I196" s="151"/>
    </row>
    <row r="197" spans="1:9" ht="15.75">
      <c r="A197" s="191"/>
      <c r="B197" s="189"/>
      <c r="C197" s="232"/>
      <c r="D197" s="232"/>
      <c r="E197" s="232"/>
      <c r="F197" s="190"/>
      <c r="G197" s="257"/>
      <c r="H197" s="257"/>
      <c r="I197" s="151"/>
    </row>
    <row r="198" spans="1:9" ht="15.75">
      <c r="A198" s="72"/>
      <c r="I198" s="151"/>
    </row>
  </sheetData>
  <sheetProtection/>
  <printOptions horizontalCentered="1"/>
  <pageMargins left="0.75" right="0.25" top="0.3194" bottom="0.2" header="0.5" footer="0.5"/>
  <pageSetup horizontalDpi="600" verticalDpi="600" orientation="landscape" scale="66" r:id="rId1"/>
  <rowBreaks count="4" manualBreakCount="4">
    <brk id="50" max="8" man="1"/>
    <brk id="92" max="8" man="1"/>
    <brk id="134" max="8" man="1"/>
    <brk id="1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2018-06-07T14:14:52Z</cp:lastPrinted>
  <dcterms:created xsi:type="dcterms:W3CDTF">2003-09-09T14:41:43Z</dcterms:created>
  <dcterms:modified xsi:type="dcterms:W3CDTF">2018-06-07T19:48:24Z</dcterms:modified>
  <cp:category/>
  <cp:version/>
  <cp:contentType/>
  <cp:contentStatus/>
</cp:coreProperties>
</file>