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3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STATS'!$A$1:$M$169</definedName>
    <definedName name="_xlnm.Print_Area" localSheetId="3">'SLOT STATS'!$A$1:$J$170</definedName>
    <definedName name="_xlnm.Print_Area" localSheetId="2">'TABLE STATS'!$A$1:$H$169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<sst xmlns="http://schemas.openxmlformats.org/spreadsheetml/2006/main" count="192" uniqueCount="75">
  <si>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</si>
  <si>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</si>
  <si>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</si>
  <si>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</si>
  <si>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</si>
  <si>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</si>
  <si>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</si>
  <si>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</si>
  <si>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</si>
  <si>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</si>
  <si>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</si>
  <si>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</si>
  <si>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</si>
  <si>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</si>
  <si>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</si>
  <si>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</si>
  <si>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</si>
  <si>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</si>
  <si>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</si>
  <si>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</si>
  <si>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</si>
  <si>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</si>
  <si>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</si>
  <si>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</si>
  <si>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</si>
  <si>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</si>
  <si>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</si>
  <si>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</si>
  <si>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</si>
  <si>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</si>
  <si>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</si>
  <si>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</si>
  <si>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</si>
  <si>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</si>
  <si>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</si>
  <si>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</si>
  <si>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</si>
  <si>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</si>
  <si>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</si>
  <si>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</si>
  <si>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</si>
  <si>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</si>
  <si>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</si>
  <si>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</si>
  <si>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</si>
  <si>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</si>
  <si>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</si>
  <si>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</si>
  <si>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</si>
  <si>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</si>
  <si>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</si>
  <si>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</si>
  <si>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</si>
  <si>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</si>
  <si>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</si>
  <si>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</si>
  <si>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</si>
  <si>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</si>
  <si>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</si>
  <si>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</si>
  <si>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</si>
  <si>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</si>
  <si>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</si>
  <si>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</si>
  <si>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</si>
  <si>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</si>
  <si>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</si>
  <si>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</si>
  <si>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</si>
  <si>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MARCH 31, 2018</t>
  </si>
  <si>
    <t>(as reported on the tax remittal database dtd 4/9/18)</t>
  </si>
  <si>
    <t>FOR THE MONTH ENDED:   MARCH 31, 2018</t>
  </si>
  <si>
    <t>THRU MONTH ENDED:   MARCH 31, 2018</t>
  </si>
  <si>
    <t>(as reported on the tax remittal database as of 4/9/18)</t>
  </si>
  <si>
    <t>THRU MONTH ENDED:     MARCH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</si>
</sst>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3" fontId="0" fillId="0" borderId="14" xfId="54" applyNumberFormat="1" applyFont="1" applyBorder="1" applyAlignment="1">
      <alignment horizontal="center"/>
      <protection/>
    </xf>
    <xf numFmtId="3" fontId="14" fillId="0" borderId="23" xfId="55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9"/>
  <sheetViews>
    <sheetView showOutlineSymbols="0" workbookViewId="0" topLeftCell="A226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 aca="true" t="shared" si="0" ref="E9:E17">(+C9-D9)/D9</f>
        <v>-0.06547594538181103</v>
      </c>
      <c r="F9" s="21">
        <f>+C9-138811</f>
        <v>156236</v>
      </c>
      <c r="G9" s="21">
        <f>+D9-154398</f>
        <v>161321</v>
      </c>
      <c r="H9" s="23">
        <f aca="true" t="shared" si="1" ref="H9:H16">(+F9-G9)/G9</f>
        <v>-0.031521004704905126</v>
      </c>
      <c r="I9" s="24">
        <f aca="true" t="shared" si="2" ref="I9:I17">K9/C9</f>
        <v>47.93787274569814</v>
      </c>
      <c r="J9" s="24">
        <f aca="true" t="shared" si="3" ref="J9:J17">K9/F9</f>
        <v>90.52923487544483</v>
      </c>
      <c r="K9" s="21">
        <v>14143925.54</v>
      </c>
      <c r="L9" s="21">
        <v>13957245.75</v>
      </c>
      <c r="M9" s="25">
        <f aca="true" t="shared" si="4" ref="M9:M17"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 t="shared" si="0"/>
        <v>-0.00392220829965968</v>
      </c>
      <c r="F10" s="21">
        <f>+C10-125473</f>
        <v>143215</v>
      </c>
      <c r="G10" s="21">
        <f>+D10-128416</f>
        <v>141330</v>
      </c>
      <c r="H10" s="23">
        <f t="shared" si="1"/>
        <v>0.013337578716479162</v>
      </c>
      <c r="I10" s="24">
        <f t="shared" si="2"/>
        <v>48.38335742571309</v>
      </c>
      <c r="J10" s="24">
        <f t="shared" si="3"/>
        <v>90.7728068987187</v>
      </c>
      <c r="K10" s="21">
        <v>13000027.54</v>
      </c>
      <c r="L10" s="21">
        <v>12325415.85</v>
      </c>
      <c r="M10" s="25">
        <f t="shared" si="4"/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280816</v>
      </c>
      <c r="D11" s="22">
        <v>275432</v>
      </c>
      <c r="E11" s="23">
        <f t="shared" si="0"/>
        <v>0.019547474512765402</v>
      </c>
      <c r="F11" s="21">
        <f>+C11-133848</f>
        <v>146968</v>
      </c>
      <c r="G11" s="21">
        <f>+D11-130069</f>
        <v>145363</v>
      </c>
      <c r="H11" s="23">
        <f t="shared" si="1"/>
        <v>0.011041324133376444</v>
      </c>
      <c r="I11" s="24">
        <f t="shared" si="2"/>
        <v>48.34897972337758</v>
      </c>
      <c r="J11" s="24">
        <f t="shared" si="3"/>
        <v>92.38179120624898</v>
      </c>
      <c r="K11" s="21">
        <v>13577167.09</v>
      </c>
      <c r="L11" s="21">
        <v>12483472.22</v>
      </c>
      <c r="M11" s="25">
        <f t="shared" si="4"/>
        <v>0.08761143139708923</v>
      </c>
      <c r="N11" s="10"/>
      <c r="R11" s="2"/>
    </row>
    <row r="12" spans="1:18" ht="15.75">
      <c r="A12" s="19"/>
      <c r="B12" s="20">
        <f>DATE(2017,10,1)</f>
        <v>43009</v>
      </c>
      <c r="C12" s="21">
        <v>266813</v>
      </c>
      <c r="D12" s="22">
        <v>279310</v>
      </c>
      <c r="E12" s="23">
        <f t="shared" si="0"/>
        <v>-0.04474240091654434</v>
      </c>
      <c r="F12" s="21">
        <f>+C12-124457</f>
        <v>142356</v>
      </c>
      <c r="G12" s="21">
        <f>+D12-132516</f>
        <v>146794</v>
      </c>
      <c r="H12" s="23">
        <f t="shared" si="1"/>
        <v>-0.030232843304222243</v>
      </c>
      <c r="I12" s="24">
        <f t="shared" si="2"/>
        <v>49.51069921630505</v>
      </c>
      <c r="J12" s="24">
        <f t="shared" si="3"/>
        <v>92.79621645733232</v>
      </c>
      <c r="K12" s="21">
        <v>13210098.19</v>
      </c>
      <c r="L12" s="21">
        <v>12897991.17</v>
      </c>
      <c r="M12" s="25">
        <f t="shared" si="4"/>
        <v>0.024198110844264095</v>
      </c>
      <c r="N12" s="10"/>
      <c r="R12" s="2"/>
    </row>
    <row r="13" spans="1:18" ht="15.75">
      <c r="A13" s="19"/>
      <c r="B13" s="20">
        <f>DATE(2017,11,1)</f>
        <v>43040</v>
      </c>
      <c r="C13" s="21">
        <v>271175</v>
      </c>
      <c r="D13" s="22">
        <v>261597</v>
      </c>
      <c r="E13" s="23">
        <f t="shared" si="0"/>
        <v>0.03661356972748159</v>
      </c>
      <c r="F13" s="21">
        <f>+C13-126340</f>
        <v>144835</v>
      </c>
      <c r="G13" s="21">
        <f>+D13-124698</f>
        <v>136899</v>
      </c>
      <c r="H13" s="23">
        <f t="shared" si="1"/>
        <v>0.05796974411792635</v>
      </c>
      <c r="I13" s="24">
        <f t="shared" si="2"/>
        <v>52.1944138287084</v>
      </c>
      <c r="J13" s="24">
        <f t="shared" si="3"/>
        <v>97.7237557910726</v>
      </c>
      <c r="K13" s="21">
        <v>14153820.17</v>
      </c>
      <c r="L13" s="21">
        <v>12213621.49</v>
      </c>
      <c r="M13" s="25">
        <f t="shared" si="4"/>
        <v>0.15885531425618132</v>
      </c>
      <c r="N13" s="10"/>
      <c r="R13" s="2"/>
    </row>
    <row r="14" spans="1:18" ht="15.75">
      <c r="A14" s="19"/>
      <c r="B14" s="20">
        <f>DATE(2017,12,1)</f>
        <v>43070</v>
      </c>
      <c r="C14" s="21">
        <v>285888</v>
      </c>
      <c r="D14" s="22">
        <v>277351</v>
      </c>
      <c r="E14" s="23">
        <f t="shared" si="0"/>
        <v>0.030780491146597633</v>
      </c>
      <c r="F14" s="21">
        <f>+C14-135160</f>
        <v>150728</v>
      </c>
      <c r="G14" s="21">
        <f>+D14-134196</f>
        <v>143155</v>
      </c>
      <c r="H14" s="23">
        <f t="shared" si="1"/>
        <v>0.05290070203625441</v>
      </c>
      <c r="I14" s="24">
        <f t="shared" si="2"/>
        <v>50.44767937094247</v>
      </c>
      <c r="J14" s="24">
        <f t="shared" si="3"/>
        <v>95.68485059179449</v>
      </c>
      <c r="K14" s="21">
        <v>14422386.16</v>
      </c>
      <c r="L14" s="21">
        <v>12512412.08</v>
      </c>
      <c r="M14" s="25">
        <f t="shared" si="4"/>
        <v>0.1526463536996937</v>
      </c>
      <c r="N14" s="10"/>
      <c r="R14" s="2"/>
    </row>
    <row r="15" spans="1:18" ht="15.75">
      <c r="A15" s="19"/>
      <c r="B15" s="20">
        <f>DATE(2018,1,1)</f>
        <v>43101</v>
      </c>
      <c r="C15" s="21">
        <v>251374</v>
      </c>
      <c r="D15" s="22">
        <v>259670</v>
      </c>
      <c r="E15" s="23">
        <f t="shared" si="0"/>
        <v>-0.03194824199946086</v>
      </c>
      <c r="F15" s="21">
        <f>+C15-118404</f>
        <v>132970</v>
      </c>
      <c r="G15" s="21">
        <f>+D15-125404</f>
        <v>134266</v>
      </c>
      <c r="H15" s="23">
        <f t="shared" si="1"/>
        <v>-0.00965248089613156</v>
      </c>
      <c r="I15" s="24">
        <f t="shared" si="2"/>
        <v>50.080131079586586</v>
      </c>
      <c r="J15" s="24">
        <f t="shared" si="3"/>
        <v>94.67430901707151</v>
      </c>
      <c r="K15" s="21">
        <v>12588842.87</v>
      </c>
      <c r="L15" s="21">
        <v>12255360.64</v>
      </c>
      <c r="M15" s="25">
        <f t="shared" si="4"/>
        <v>0.02721113150367467</v>
      </c>
      <c r="N15" s="10"/>
      <c r="R15" s="2"/>
    </row>
    <row r="16" spans="1:18" ht="15.75">
      <c r="A16" s="19"/>
      <c r="B16" s="20">
        <f>DATE(2018,2,1)</f>
        <v>43132</v>
      </c>
      <c r="C16" s="21">
        <v>260428</v>
      </c>
      <c r="D16" s="22">
        <v>270335</v>
      </c>
      <c r="E16" s="23">
        <f t="shared" si="0"/>
        <v>-0.036647123014038135</v>
      </c>
      <c r="F16" s="21">
        <f>+C16-124324</f>
        <v>136104</v>
      </c>
      <c r="G16" s="21">
        <f>+D16-129270</f>
        <v>141065</v>
      </c>
      <c r="H16" s="23">
        <f t="shared" si="1"/>
        <v>-0.035168184879310956</v>
      </c>
      <c r="I16" s="24">
        <f t="shared" si="2"/>
        <v>52.97598852657932</v>
      </c>
      <c r="J16" s="24">
        <f t="shared" si="3"/>
        <v>101.36682786692529</v>
      </c>
      <c r="K16" s="21">
        <v>13796430.74</v>
      </c>
      <c r="L16" s="21">
        <v>12684888.04</v>
      </c>
      <c r="M16" s="25">
        <f t="shared" si="4"/>
        <v>0.08762731657503862</v>
      </c>
      <c r="N16" s="10"/>
      <c r="R16" s="2"/>
    </row>
    <row r="17" spans="1:18" ht="15.75">
      <c r="A17" s="19"/>
      <c r="B17" s="20">
        <f>DATE(2018,3,1)</f>
        <v>43160</v>
      </c>
      <c r="C17" s="21">
        <v>299040</v>
      </c>
      <c r="D17" s="22">
        <v>296140</v>
      </c>
      <c r="E17" s="23">
        <f t="shared" si="0"/>
        <v>0.009792665631120415</v>
      </c>
      <c r="F17" s="21">
        <f>+C17-144322</f>
        <v>154718</v>
      </c>
      <c r="G17" s="21">
        <f>+D17-144096</f>
        <v>152044</v>
      </c>
      <c r="H17" s="23"/>
      <c r="I17" s="24">
        <f t="shared" si="2"/>
        <v>51.70376969636169</v>
      </c>
      <c r="J17" s="24">
        <f t="shared" si="3"/>
        <v>99.93339682519164</v>
      </c>
      <c r="K17" s="21">
        <v>15461495.29</v>
      </c>
      <c r="L17" s="21">
        <v>14573071.87</v>
      </c>
      <c r="M17" s="25">
        <f t="shared" si="4"/>
        <v>0.06096335953910313</v>
      </c>
      <c r="N17" s="10"/>
      <c r="R17" s="2"/>
    </row>
    <row r="18" spans="1:18" ht="15.75" customHeight="1" thickBot="1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thickBot="1" thickTop="1">
      <c r="A19" s="26" t="s">
        <v>14</v>
      </c>
      <c r="B19" s="27"/>
      <c r="C19" s="28">
        <f>SUM(C9:C18)</f>
        <v>2479269</v>
      </c>
      <c r="D19" s="28">
        <f>SUM(D9:D18)</f>
        <v>2505300</v>
      </c>
      <c r="E19" s="279">
        <f>(+C19-D19)/D19</f>
        <v>-0.010390372410489762</v>
      </c>
      <c r="F19" s="28">
        <f>SUM(F9:F18)</f>
        <v>1308130</v>
      </c>
      <c r="G19" s="28">
        <f>SUM(G9:G18)</f>
        <v>1302237</v>
      </c>
      <c r="H19" s="30">
        <f>(+F19-G19)/G19</f>
        <v>0.004525289943382042</v>
      </c>
      <c r="I19" s="31">
        <f>K19/C19</f>
        <v>50.157604354347995</v>
      </c>
      <c r="J19" s="31">
        <f>K19/F19</f>
        <v>95.06256533372066</v>
      </c>
      <c r="K19" s="28">
        <f>SUM(K9:K18)</f>
        <v>124354193.59</v>
      </c>
      <c r="L19" s="28">
        <f>SUM(L9:L18)</f>
        <v>115903479.11000001</v>
      </c>
      <c r="M19" s="32">
        <f>(+K19-L19)/L19</f>
        <v>0.07291165498129444</v>
      </c>
      <c r="N19" s="10"/>
      <c r="R19" s="2"/>
    </row>
    <row r="20" spans="1:18" ht="15.75" customHeight="1" thickTop="1">
      <c r="A20" s="15"/>
      <c r="B20" s="16"/>
      <c r="C20" s="16"/>
      <c r="D20" s="16"/>
      <c r="E20" s="17"/>
      <c r="F20" s="16"/>
      <c r="G20" s="16"/>
      <c r="H20" s="17"/>
      <c r="I20" s="16"/>
      <c r="J20" s="16"/>
      <c r="K20" s="195"/>
      <c r="L20" s="195"/>
      <c r="M20" s="18"/>
      <c r="N20" s="10"/>
      <c r="R20" s="2"/>
    </row>
    <row r="21" spans="1:18" ht="15.75">
      <c r="A21" s="19" t="s">
        <v>15</v>
      </c>
      <c r="B21" s="20">
        <f>DATE(2017,7,1)</f>
        <v>42917</v>
      </c>
      <c r="C21" s="21">
        <v>154485</v>
      </c>
      <c r="D21" s="21">
        <v>168156</v>
      </c>
      <c r="E21" s="23">
        <f aca="true" t="shared" si="5" ref="E21:E29">(+C21-D21)/D21</f>
        <v>-0.08129950760008564</v>
      </c>
      <c r="F21" s="21">
        <f>+C21-74453</f>
        <v>80032</v>
      </c>
      <c r="G21" s="21">
        <f>+D21-80472</f>
        <v>87684</v>
      </c>
      <c r="H21" s="23">
        <f aca="true" t="shared" si="6" ref="H21:H29">(+F21-G21)/G21</f>
        <v>-0.08726791660964373</v>
      </c>
      <c r="I21" s="24">
        <f aca="true" t="shared" si="7" ref="I21:I29">K21/C21</f>
        <v>48.24474518561673</v>
      </c>
      <c r="J21" s="24">
        <f aca="true" t="shared" si="8" ref="J21:J29">K21/F21</f>
        <v>93.12636770291883</v>
      </c>
      <c r="K21" s="21">
        <v>7453089.46</v>
      </c>
      <c r="L21" s="21">
        <v>7571219.54</v>
      </c>
      <c r="M21" s="25">
        <f aca="true" t="shared" si="9" ref="M21:M29">(+K21-L21)/L21</f>
        <v>-0.015602516790841871</v>
      </c>
      <c r="N21" s="10"/>
      <c r="R21" s="2"/>
    </row>
    <row r="22" spans="1:18" ht="15.75">
      <c r="A22" s="19"/>
      <c r="B22" s="20">
        <f>DATE(2017,8,1)</f>
        <v>42948</v>
      </c>
      <c r="C22" s="21">
        <v>146885</v>
      </c>
      <c r="D22" s="21">
        <v>156736</v>
      </c>
      <c r="E22" s="23">
        <f t="shared" si="5"/>
        <v>-0.06285090853409554</v>
      </c>
      <c r="F22" s="21">
        <f>+C22-69501</f>
        <v>77384</v>
      </c>
      <c r="G22" s="21">
        <f>+D22-73885</f>
        <v>82851</v>
      </c>
      <c r="H22" s="23">
        <f t="shared" si="6"/>
        <v>-0.0659859265428299</v>
      </c>
      <c r="I22" s="24">
        <f t="shared" si="7"/>
        <v>46.88712468938285</v>
      </c>
      <c r="J22" s="24">
        <f t="shared" si="8"/>
        <v>88.99792347255246</v>
      </c>
      <c r="K22" s="21">
        <v>6887015.31</v>
      </c>
      <c r="L22" s="21">
        <v>6873490.36</v>
      </c>
      <c r="M22" s="25">
        <f t="shared" si="9"/>
        <v>0.0019676975294396506</v>
      </c>
      <c r="N22" s="10"/>
      <c r="R22" s="2"/>
    </row>
    <row r="23" spans="1:18" ht="15.75">
      <c r="A23" s="19"/>
      <c r="B23" s="20">
        <f>DATE(2017,9,1)</f>
        <v>42979</v>
      </c>
      <c r="C23" s="21">
        <v>147791</v>
      </c>
      <c r="D23" s="21">
        <v>155294</v>
      </c>
      <c r="E23" s="23">
        <f t="shared" si="5"/>
        <v>-0.04831480932940101</v>
      </c>
      <c r="F23" s="21">
        <f>+C23-70004</f>
        <v>77787</v>
      </c>
      <c r="G23" s="21">
        <f>+D23-73977</f>
        <v>81317</v>
      </c>
      <c r="H23" s="23">
        <f t="shared" si="6"/>
        <v>-0.043410356997921715</v>
      </c>
      <c r="I23" s="24">
        <f t="shared" si="7"/>
        <v>45.22004107151315</v>
      </c>
      <c r="J23" s="24">
        <f t="shared" si="8"/>
        <v>85.91557831000038</v>
      </c>
      <c r="K23" s="21">
        <v>6683115.09</v>
      </c>
      <c r="L23" s="21">
        <v>6937402.96</v>
      </c>
      <c r="M23" s="25">
        <f t="shared" si="9"/>
        <v>-0.036654620102967196</v>
      </c>
      <c r="N23" s="10"/>
      <c r="R23" s="2"/>
    </row>
    <row r="24" spans="1:18" ht="15.75">
      <c r="A24" s="19"/>
      <c r="B24" s="20">
        <f>DATE(2017,10,1)</f>
        <v>43009</v>
      </c>
      <c r="C24" s="21">
        <v>137700</v>
      </c>
      <c r="D24" s="21">
        <v>146527</v>
      </c>
      <c r="E24" s="23">
        <f t="shared" si="5"/>
        <v>-0.0602414572058392</v>
      </c>
      <c r="F24" s="21">
        <f>+C24-65646</f>
        <v>72054</v>
      </c>
      <c r="G24" s="21">
        <f>+D24-70123</f>
        <v>76404</v>
      </c>
      <c r="H24" s="23">
        <f t="shared" si="6"/>
        <v>-0.056934191927124234</v>
      </c>
      <c r="I24" s="24">
        <f t="shared" si="7"/>
        <v>45.38843761801017</v>
      </c>
      <c r="J24" s="24">
        <f t="shared" si="8"/>
        <v>86.7403316956727</v>
      </c>
      <c r="K24" s="21">
        <v>6249987.86</v>
      </c>
      <c r="L24" s="21">
        <v>6669801.07</v>
      </c>
      <c r="M24" s="25">
        <f t="shared" si="9"/>
        <v>-0.06294238847516331</v>
      </c>
      <c r="N24" s="10"/>
      <c r="R24" s="2"/>
    </row>
    <row r="25" spans="1:18" ht="15.75">
      <c r="A25" s="19"/>
      <c r="B25" s="20">
        <f>DATE(2017,11,1)</f>
        <v>43040</v>
      </c>
      <c r="C25" s="21">
        <v>128271</v>
      </c>
      <c r="D25" s="21">
        <v>141058</v>
      </c>
      <c r="E25" s="23">
        <f t="shared" si="5"/>
        <v>-0.09065065434076763</v>
      </c>
      <c r="F25" s="21">
        <f>+C25-61249</f>
        <v>67022</v>
      </c>
      <c r="G25" s="21">
        <f>+D25-67043</f>
        <v>74015</v>
      </c>
      <c r="H25" s="23">
        <f t="shared" si="6"/>
        <v>-0.09448084847666013</v>
      </c>
      <c r="I25" s="24">
        <f t="shared" si="7"/>
        <v>48.31553001068051</v>
      </c>
      <c r="J25" s="24">
        <f t="shared" si="8"/>
        <v>92.46935856882814</v>
      </c>
      <c r="K25" s="21">
        <v>6197481.35</v>
      </c>
      <c r="L25" s="21">
        <v>6463132.7</v>
      </c>
      <c r="M25" s="25">
        <f t="shared" si="9"/>
        <v>-0.04110256779966789</v>
      </c>
      <c r="N25" s="10"/>
      <c r="R25" s="2"/>
    </row>
    <row r="26" spans="1:18" ht="15.75">
      <c r="A26" s="19"/>
      <c r="B26" s="20">
        <f>DATE(2017,12,1)</f>
        <v>43070</v>
      </c>
      <c r="C26" s="21">
        <v>135202</v>
      </c>
      <c r="D26" s="21">
        <v>135128</v>
      </c>
      <c r="E26" s="23">
        <f t="shared" si="5"/>
        <v>0.0005476289148067018</v>
      </c>
      <c r="F26" s="21">
        <f>+C26-65090</f>
        <v>70112</v>
      </c>
      <c r="G26" s="21">
        <f>+D26-64946</f>
        <v>70182</v>
      </c>
      <c r="H26" s="23">
        <f t="shared" si="6"/>
        <v>-0.000997406742469579</v>
      </c>
      <c r="I26" s="24">
        <f t="shared" si="7"/>
        <v>48.52504741054126</v>
      </c>
      <c r="J26" s="24">
        <f t="shared" si="8"/>
        <v>93.57433049977179</v>
      </c>
      <c r="K26" s="21">
        <v>6560683.46</v>
      </c>
      <c r="L26" s="21">
        <v>6130475.36</v>
      </c>
      <c r="M26" s="25">
        <f t="shared" si="9"/>
        <v>0.07017532487072904</v>
      </c>
      <c r="N26" s="10"/>
      <c r="R26" s="2"/>
    </row>
    <row r="27" spans="1:18" ht="15.75">
      <c r="A27" s="19"/>
      <c r="B27" s="20">
        <f>DATE(2018,1,1)</f>
        <v>43101</v>
      </c>
      <c r="C27" s="21">
        <v>123339</v>
      </c>
      <c r="D27" s="21">
        <v>131548</v>
      </c>
      <c r="E27" s="23">
        <f t="shared" si="5"/>
        <v>-0.062403077203758324</v>
      </c>
      <c r="F27" s="21">
        <f>+C27-59915</f>
        <v>63424</v>
      </c>
      <c r="G27" s="21">
        <f>+D27-62907</f>
        <v>68641</v>
      </c>
      <c r="H27" s="23">
        <f t="shared" si="6"/>
        <v>-0.07600413746885971</v>
      </c>
      <c r="I27" s="24">
        <f t="shared" si="7"/>
        <v>48.942680822773006</v>
      </c>
      <c r="J27" s="24">
        <f t="shared" si="8"/>
        <v>95.17755597250252</v>
      </c>
      <c r="K27" s="21">
        <v>6036541.31</v>
      </c>
      <c r="L27" s="21">
        <v>6010945.81</v>
      </c>
      <c r="M27" s="25">
        <f t="shared" si="9"/>
        <v>0.004258148519226129</v>
      </c>
      <c r="N27" s="10"/>
      <c r="R27" s="2"/>
    </row>
    <row r="28" spans="1:18" ht="15.75">
      <c r="A28" s="19"/>
      <c r="B28" s="20">
        <f>DATE(2018,2,1)</f>
        <v>43132</v>
      </c>
      <c r="C28" s="21">
        <v>129346</v>
      </c>
      <c r="D28" s="21">
        <v>143794</v>
      </c>
      <c r="E28" s="23">
        <f t="shared" si="5"/>
        <v>-0.10047707136598188</v>
      </c>
      <c r="F28" s="21">
        <f>+C28-62566</f>
        <v>66780</v>
      </c>
      <c r="G28" s="21">
        <f>+D28-69424</f>
        <v>74370</v>
      </c>
      <c r="H28" s="23">
        <f t="shared" si="6"/>
        <v>-0.10205728116175877</v>
      </c>
      <c r="I28" s="24">
        <f t="shared" si="7"/>
        <v>49.69429669259196</v>
      </c>
      <c r="J28" s="24">
        <f t="shared" si="8"/>
        <v>96.25274782869123</v>
      </c>
      <c r="K28" s="21">
        <v>6427758.5</v>
      </c>
      <c r="L28" s="21">
        <v>6803830.21</v>
      </c>
      <c r="M28" s="25">
        <f t="shared" si="9"/>
        <v>-0.05527352952565816</v>
      </c>
      <c r="N28" s="10"/>
      <c r="R28" s="2"/>
    </row>
    <row r="29" spans="1:18" ht="15.75">
      <c r="A29" s="19"/>
      <c r="B29" s="20">
        <f>DATE(2018,3,1)</f>
        <v>43160</v>
      </c>
      <c r="C29" s="21">
        <v>155835</v>
      </c>
      <c r="D29" s="21">
        <v>160126</v>
      </c>
      <c r="E29" s="23">
        <f t="shared" si="5"/>
        <v>-0.02679764685310318</v>
      </c>
      <c r="F29" s="21">
        <f>+C29-75203</f>
        <v>80632</v>
      </c>
      <c r="G29" s="21">
        <f>+D29-77591</f>
        <v>82535</v>
      </c>
      <c r="H29" s="23">
        <f t="shared" si="6"/>
        <v>-0.02305688495789665</v>
      </c>
      <c r="I29" s="24">
        <f t="shared" si="7"/>
        <v>48.83709859787596</v>
      </c>
      <c r="J29" s="24">
        <f t="shared" si="8"/>
        <v>94.38596661375136</v>
      </c>
      <c r="K29" s="21">
        <v>7610529.26</v>
      </c>
      <c r="L29" s="21">
        <v>7547749.48</v>
      </c>
      <c r="M29" s="25">
        <f t="shared" si="9"/>
        <v>0.008317682001284351</v>
      </c>
      <c r="N29" s="10"/>
      <c r="R29" s="2"/>
    </row>
    <row r="30" spans="1:18" ht="15.75" customHeight="1" thickBot="1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26" t="s">
        <v>14</v>
      </c>
      <c r="B31" s="27"/>
      <c r="C31" s="28">
        <f>SUM(C21:C30)</f>
        <v>1258854</v>
      </c>
      <c r="D31" s="28">
        <f>SUM(D21:D30)</f>
        <v>1338367</v>
      </c>
      <c r="E31" s="279">
        <f>(+C31-D31)/D31</f>
        <v>-0.059410460658399375</v>
      </c>
      <c r="F31" s="28">
        <f>SUM(F21:F30)</f>
        <v>655227</v>
      </c>
      <c r="G31" s="28">
        <f>SUM(G21:G30)</f>
        <v>697999</v>
      </c>
      <c r="H31" s="30">
        <f>(+F31-G31)/G31</f>
        <v>-0.06127802475361713</v>
      </c>
      <c r="I31" s="31">
        <f>K31/C31</f>
        <v>47.746761419513305</v>
      </c>
      <c r="J31" s="31">
        <f>K31/F31</f>
        <v>91.73340170658413</v>
      </c>
      <c r="K31" s="28">
        <f>SUM(K21:K30)</f>
        <v>60106201.6</v>
      </c>
      <c r="L31" s="28">
        <f>SUM(L21:L30)</f>
        <v>61008047.49000001</v>
      </c>
      <c r="M31" s="32">
        <f>(+K31-L31)/L31</f>
        <v>-0.014782408667443946</v>
      </c>
      <c r="N31" s="10"/>
      <c r="R31" s="2"/>
    </row>
    <row r="32" spans="1:18" ht="15.75" customHeight="1" thickTop="1">
      <c r="A32" s="33"/>
      <c r="B32" s="34"/>
      <c r="C32" s="35"/>
      <c r="D32" s="35"/>
      <c r="E32" s="29"/>
      <c r="F32" s="35"/>
      <c r="G32" s="35"/>
      <c r="H32" s="29"/>
      <c r="I32" s="36"/>
      <c r="J32" s="36"/>
      <c r="K32" s="35"/>
      <c r="L32" s="35"/>
      <c r="M32" s="37"/>
      <c r="N32" s="10"/>
      <c r="R32" s="2"/>
    </row>
    <row r="33" spans="1:18" ht="15.75" customHeight="1">
      <c r="A33" s="19" t="s">
        <v>56</v>
      </c>
      <c r="B33" s="20">
        <f>DATE(2017,7,1)</f>
        <v>42917</v>
      </c>
      <c r="C33" s="21">
        <v>74865</v>
      </c>
      <c r="D33" s="21">
        <v>79290</v>
      </c>
      <c r="E33" s="23">
        <f aca="true" t="shared" si="10" ref="E33:E41">(+C33-D33)/D33</f>
        <v>-0.05580779417328793</v>
      </c>
      <c r="F33" s="21">
        <f>+C33-41129</f>
        <v>33736</v>
      </c>
      <c r="G33" s="21">
        <f>+D33-44110</f>
        <v>35180</v>
      </c>
      <c r="H33" s="23">
        <f aca="true" t="shared" si="11" ref="H33:H41">(+F33-G33)/G33</f>
        <v>-0.041046048891415575</v>
      </c>
      <c r="I33" s="24">
        <f aca="true" t="shared" si="12" ref="I33:I41">K33/C33</f>
        <v>43.836655847191615</v>
      </c>
      <c r="J33" s="24">
        <f aca="true" t="shared" si="13" ref="J33:J41">K33/F33</f>
        <v>97.27979724922932</v>
      </c>
      <c r="K33" s="21">
        <v>3281831.24</v>
      </c>
      <c r="L33" s="21">
        <v>3381483.62</v>
      </c>
      <c r="M33" s="25">
        <f aca="true" t="shared" si="14" ref="M33:M41">(+K33-L33)/L33</f>
        <v>-0.029470017069016554</v>
      </c>
      <c r="N33" s="10"/>
      <c r="R33" s="2"/>
    </row>
    <row r="34" spans="1:18" ht="15.75" customHeight="1">
      <c r="A34" s="19"/>
      <c r="B34" s="20">
        <f>DATE(2017,8,1)</f>
        <v>42948</v>
      </c>
      <c r="C34" s="21">
        <v>67175</v>
      </c>
      <c r="D34" s="21">
        <v>71059</v>
      </c>
      <c r="E34" s="23">
        <f t="shared" si="10"/>
        <v>-0.054658804655286455</v>
      </c>
      <c r="F34" s="21">
        <f>+C34-36831</f>
        <v>30344</v>
      </c>
      <c r="G34" s="21">
        <f>+D34-39645</f>
        <v>31414</v>
      </c>
      <c r="H34" s="23">
        <f t="shared" si="11"/>
        <v>-0.03406124657795887</v>
      </c>
      <c r="I34" s="24">
        <f t="shared" si="12"/>
        <v>43.37994923706736</v>
      </c>
      <c r="J34" s="24">
        <f t="shared" si="13"/>
        <v>96.0337493408911</v>
      </c>
      <c r="K34" s="21">
        <v>2914048.09</v>
      </c>
      <c r="L34" s="21">
        <v>2856153.4</v>
      </c>
      <c r="M34" s="25">
        <f t="shared" si="14"/>
        <v>0.020270161259545776</v>
      </c>
      <c r="N34" s="10"/>
      <c r="R34" s="2"/>
    </row>
    <row r="35" spans="1:18" ht="15.75" customHeight="1">
      <c r="A35" s="19"/>
      <c r="B35" s="20">
        <f>DATE(2017,9,1)</f>
        <v>42979</v>
      </c>
      <c r="C35" s="21">
        <v>69904</v>
      </c>
      <c r="D35" s="21">
        <v>74988</v>
      </c>
      <c r="E35" s="23">
        <f t="shared" si="10"/>
        <v>-0.0677975142689497</v>
      </c>
      <c r="F35" s="21">
        <f>+C35-38362</f>
        <v>31542</v>
      </c>
      <c r="G35" s="21">
        <f>+D35-41297</f>
        <v>33691</v>
      </c>
      <c r="H35" s="23">
        <f t="shared" si="11"/>
        <v>-0.06378558071888635</v>
      </c>
      <c r="I35" s="24">
        <f t="shared" si="12"/>
        <v>46.3982827878233</v>
      </c>
      <c r="J35" s="24">
        <f t="shared" si="13"/>
        <v>102.82878574598948</v>
      </c>
      <c r="K35" s="21">
        <v>3243425.56</v>
      </c>
      <c r="L35" s="21">
        <v>3135290.49</v>
      </c>
      <c r="M35" s="25">
        <f t="shared" si="14"/>
        <v>0.03448964947423415</v>
      </c>
      <c r="N35" s="10"/>
      <c r="R35" s="2"/>
    </row>
    <row r="36" spans="1:18" ht="15.75" customHeight="1">
      <c r="A36" s="19"/>
      <c r="B36" s="20">
        <f>DATE(2017,10,1)</f>
        <v>43009</v>
      </c>
      <c r="C36" s="21">
        <v>63657</v>
      </c>
      <c r="D36" s="21">
        <v>72346</v>
      </c>
      <c r="E36" s="23">
        <f t="shared" si="10"/>
        <v>-0.1201033920327316</v>
      </c>
      <c r="F36" s="21">
        <f>+C36-34877</f>
        <v>28780</v>
      </c>
      <c r="G36" s="21">
        <f>+D36-40670</f>
        <v>31676</v>
      </c>
      <c r="H36" s="23">
        <f t="shared" si="11"/>
        <v>-0.09142568506124511</v>
      </c>
      <c r="I36" s="24">
        <f t="shared" si="12"/>
        <v>45.453371349576635</v>
      </c>
      <c r="J36" s="24">
        <f t="shared" si="13"/>
        <v>100.53597150799165</v>
      </c>
      <c r="K36" s="21">
        <v>2893425.26</v>
      </c>
      <c r="L36" s="21">
        <v>2923958.35</v>
      </c>
      <c r="M36" s="25">
        <f t="shared" si="14"/>
        <v>-0.010442381985365939</v>
      </c>
      <c r="N36" s="10"/>
      <c r="R36" s="2"/>
    </row>
    <row r="37" spans="1:18" ht="15.75" customHeight="1">
      <c r="A37" s="19"/>
      <c r="B37" s="20">
        <f>DATE(2017,11,1)</f>
        <v>43040</v>
      </c>
      <c r="C37" s="21">
        <v>63182</v>
      </c>
      <c r="D37" s="21">
        <v>65636</v>
      </c>
      <c r="E37" s="23">
        <f t="shared" si="10"/>
        <v>-0.03738801877018709</v>
      </c>
      <c r="F37" s="21">
        <f>+C37-34695</f>
        <v>28487</v>
      </c>
      <c r="G37" s="21">
        <f>+D37-36502</f>
        <v>29134</v>
      </c>
      <c r="H37" s="23">
        <f t="shared" si="11"/>
        <v>-0.022207729800233403</v>
      </c>
      <c r="I37" s="24">
        <f t="shared" si="12"/>
        <v>44.99185970687854</v>
      </c>
      <c r="J37" s="24">
        <f t="shared" si="13"/>
        <v>99.78852388808932</v>
      </c>
      <c r="K37" s="21">
        <v>2842675.68</v>
      </c>
      <c r="L37" s="21">
        <v>2921467.44</v>
      </c>
      <c r="M37" s="25">
        <f t="shared" si="14"/>
        <v>-0.02696992577127602</v>
      </c>
      <c r="N37" s="10"/>
      <c r="R37" s="2"/>
    </row>
    <row r="38" spans="1:18" ht="15.75" customHeight="1">
      <c r="A38" s="19"/>
      <c r="B38" s="20">
        <f>DATE(2017,12,1)</f>
        <v>43070</v>
      </c>
      <c r="C38" s="21">
        <v>67268</v>
      </c>
      <c r="D38" s="21">
        <v>70253</v>
      </c>
      <c r="E38" s="23">
        <f t="shared" si="10"/>
        <v>-0.04248928871364924</v>
      </c>
      <c r="F38" s="21">
        <f>+C38-38083</f>
        <v>29185</v>
      </c>
      <c r="G38" s="21">
        <f>+D38-39671</f>
        <v>30582</v>
      </c>
      <c r="H38" s="23">
        <f t="shared" si="11"/>
        <v>-0.04568046563337911</v>
      </c>
      <c r="I38" s="24">
        <f t="shared" si="12"/>
        <v>45.90149476719986</v>
      </c>
      <c r="J38" s="24">
        <f t="shared" si="13"/>
        <v>105.79755867740278</v>
      </c>
      <c r="K38" s="21">
        <v>3087701.75</v>
      </c>
      <c r="L38" s="21">
        <v>3060080.79</v>
      </c>
      <c r="M38" s="25">
        <f t="shared" si="14"/>
        <v>0.009026219206454338</v>
      </c>
      <c r="N38" s="10"/>
      <c r="R38" s="2"/>
    </row>
    <row r="39" spans="1:18" ht="15.75" customHeight="1">
      <c r="A39" s="19"/>
      <c r="B39" s="20">
        <f>DATE(2018,1,1)</f>
        <v>43101</v>
      </c>
      <c r="C39" s="21">
        <v>54220</v>
      </c>
      <c r="D39" s="21">
        <v>62319</v>
      </c>
      <c r="E39" s="23">
        <f t="shared" si="10"/>
        <v>-0.12996036521767038</v>
      </c>
      <c r="F39" s="21">
        <f>+C39-30564</f>
        <v>23656</v>
      </c>
      <c r="G39" s="21">
        <f>+D39-35198</f>
        <v>27121</v>
      </c>
      <c r="H39" s="23">
        <f t="shared" si="11"/>
        <v>-0.1277607757826039</v>
      </c>
      <c r="I39" s="24">
        <f t="shared" si="12"/>
        <v>45.85845536702324</v>
      </c>
      <c r="J39" s="24">
        <f t="shared" si="13"/>
        <v>105.10844817382483</v>
      </c>
      <c r="K39" s="21">
        <v>2486445.45</v>
      </c>
      <c r="L39" s="21">
        <v>2719307.7</v>
      </c>
      <c r="M39" s="25">
        <f t="shared" si="14"/>
        <v>-0.08563291678981381</v>
      </c>
      <c r="N39" s="10"/>
      <c r="R39" s="2"/>
    </row>
    <row r="40" spans="1:18" ht="15.75" customHeight="1">
      <c r="A40" s="19"/>
      <c r="B40" s="20">
        <f>DATE(2018,2,1)</f>
        <v>43132</v>
      </c>
      <c r="C40" s="21">
        <v>65508</v>
      </c>
      <c r="D40" s="21">
        <v>73408</v>
      </c>
      <c r="E40" s="23">
        <f t="shared" si="10"/>
        <v>-0.10761769834350479</v>
      </c>
      <c r="F40" s="21">
        <f>+C40-36512</f>
        <v>28996</v>
      </c>
      <c r="G40" s="21">
        <f>+D40-41466</f>
        <v>31942</v>
      </c>
      <c r="H40" s="23">
        <f t="shared" si="11"/>
        <v>-0.09222966627011459</v>
      </c>
      <c r="I40" s="24">
        <f t="shared" si="12"/>
        <v>46.69418513769311</v>
      </c>
      <c r="J40" s="24">
        <f t="shared" si="13"/>
        <v>105.49188439784798</v>
      </c>
      <c r="K40" s="21">
        <v>3058842.68</v>
      </c>
      <c r="L40" s="21">
        <v>3306220.09</v>
      </c>
      <c r="M40" s="25">
        <f t="shared" si="14"/>
        <v>-0.07482182167733416</v>
      </c>
      <c r="N40" s="10"/>
      <c r="R40" s="2"/>
    </row>
    <row r="41" spans="1:18" ht="15.75" customHeight="1">
      <c r="A41" s="19"/>
      <c r="B41" s="20">
        <f>DATE(2018,3,1)</f>
        <v>43160</v>
      </c>
      <c r="C41" s="21">
        <v>81218</v>
      </c>
      <c r="D41" s="21">
        <v>80417</v>
      </c>
      <c r="E41" s="23">
        <f t="shared" si="10"/>
        <v>0.009960580474277827</v>
      </c>
      <c r="F41" s="21">
        <f>+C41-45783</f>
        <v>35435</v>
      </c>
      <c r="G41" s="21">
        <f>+D41-45370</f>
        <v>35047</v>
      </c>
      <c r="H41" s="23">
        <f t="shared" si="11"/>
        <v>0.011070847718777642</v>
      </c>
      <c r="I41" s="24">
        <f t="shared" si="12"/>
        <v>47.700912482454626</v>
      </c>
      <c r="J41" s="24">
        <f t="shared" si="13"/>
        <v>109.33181063919854</v>
      </c>
      <c r="K41" s="21">
        <v>3874172.71</v>
      </c>
      <c r="L41" s="21">
        <v>3696706</v>
      </c>
      <c r="M41" s="25">
        <f t="shared" si="14"/>
        <v>0.04800671462648097</v>
      </c>
      <c r="N41" s="10"/>
      <c r="R41" s="2"/>
    </row>
    <row r="42" spans="1:18" ht="15.75" customHeight="1" thickBot="1">
      <c r="A42" s="38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Bot="1" thickTop="1">
      <c r="A43" s="39" t="s">
        <v>14</v>
      </c>
      <c r="B43" s="40"/>
      <c r="C43" s="41">
        <f>SUM(C33:C42)</f>
        <v>606997</v>
      </c>
      <c r="D43" s="41">
        <f>SUM(D33:D42)</f>
        <v>649716</v>
      </c>
      <c r="E43" s="280">
        <f>(+C43-D43)/D43</f>
        <v>-0.06575026627018574</v>
      </c>
      <c r="F43" s="41">
        <f>SUM(F33:F42)</f>
        <v>270161</v>
      </c>
      <c r="G43" s="41">
        <f>SUM(G33:G42)</f>
        <v>285787</v>
      </c>
      <c r="H43" s="42">
        <f>(+F43-G43)/G43</f>
        <v>-0.05467708468194844</v>
      </c>
      <c r="I43" s="43">
        <f>K43/C43</f>
        <v>45.60577469081395</v>
      </c>
      <c r="J43" s="43">
        <f>K43/F43</f>
        <v>102.46693053401489</v>
      </c>
      <c r="K43" s="41">
        <f>SUM(K33:K42)</f>
        <v>27682568.419999998</v>
      </c>
      <c r="L43" s="41">
        <f>SUM(L33:L42)</f>
        <v>28000667.88</v>
      </c>
      <c r="M43" s="44">
        <f>(+K43-L43)/L43</f>
        <v>-0.011360424021428768</v>
      </c>
      <c r="N43" s="10"/>
      <c r="R43" s="2"/>
    </row>
    <row r="44" spans="1:18" ht="15.75" customHeight="1" thickTop="1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customHeight="1">
      <c r="A45" s="177" t="s">
        <v>65</v>
      </c>
      <c r="B45" s="20">
        <f>DATE(2017,7,1)</f>
        <v>42917</v>
      </c>
      <c r="C45" s="21">
        <v>502707</v>
      </c>
      <c r="D45" s="21">
        <v>511183</v>
      </c>
      <c r="E45" s="23">
        <f aca="true" t="shared" si="15" ref="E45:E53">(+C45-D45)/D45</f>
        <v>-0.016581146086626513</v>
      </c>
      <c r="F45" s="21">
        <f>+C45-258518</f>
        <v>244189</v>
      </c>
      <c r="G45" s="21">
        <f>+D45-260995</f>
        <v>250188</v>
      </c>
      <c r="H45" s="23">
        <f aca="true" t="shared" si="16" ref="H45:H53">(+F45-G45)/G45</f>
        <v>-0.023977968567637137</v>
      </c>
      <c r="I45" s="24">
        <f aca="true" t="shared" si="17" ref="I45:I53">K45/C45</f>
        <v>42.25325048189104</v>
      </c>
      <c r="J45" s="24">
        <f aca="true" t="shared" si="18" ref="J45:J53">K45/F45</f>
        <v>86.98591988173095</v>
      </c>
      <c r="K45" s="21">
        <v>21241004.79</v>
      </c>
      <c r="L45" s="21">
        <v>21271913.41</v>
      </c>
      <c r="M45" s="25">
        <f aca="true" t="shared" si="19" ref="M45:M53">(+K45-L45)/L45</f>
        <v>-0.0014530249067989714</v>
      </c>
      <c r="N45" s="10"/>
      <c r="R45" s="2"/>
    </row>
    <row r="46" spans="1:18" ht="15.75" customHeight="1">
      <c r="A46" s="177"/>
      <c r="B46" s="20">
        <f>DATE(2017,8,1)</f>
        <v>42948</v>
      </c>
      <c r="C46" s="21">
        <v>453491</v>
      </c>
      <c r="D46" s="21">
        <v>492813</v>
      </c>
      <c r="E46" s="23">
        <f t="shared" si="15"/>
        <v>-0.07979091460655462</v>
      </c>
      <c r="F46" s="21">
        <f>+C46-231314</f>
        <v>222177</v>
      </c>
      <c r="G46" s="21">
        <f>+D46-254208</f>
        <v>238605</v>
      </c>
      <c r="H46" s="23">
        <f t="shared" si="16"/>
        <v>-0.06885019173948576</v>
      </c>
      <c r="I46" s="24">
        <f t="shared" si="17"/>
        <v>43.557037383321834</v>
      </c>
      <c r="J46" s="24">
        <f t="shared" si="18"/>
        <v>88.9053522191766</v>
      </c>
      <c r="K46" s="21">
        <v>19752724.44</v>
      </c>
      <c r="L46" s="21">
        <v>20322456.8</v>
      </c>
      <c r="M46" s="25">
        <f t="shared" si="19"/>
        <v>-0.028034620302403564</v>
      </c>
      <c r="N46" s="10"/>
      <c r="R46" s="2"/>
    </row>
    <row r="47" spans="1:18" ht="15.75" customHeight="1">
      <c r="A47" s="177"/>
      <c r="B47" s="20">
        <f>DATE(2017,9,1)</f>
        <v>42979</v>
      </c>
      <c r="C47" s="21">
        <v>440378</v>
      </c>
      <c r="D47" s="21">
        <v>456081</v>
      </c>
      <c r="E47" s="23">
        <f t="shared" si="15"/>
        <v>-0.0344302876024215</v>
      </c>
      <c r="F47" s="21">
        <f>+C47-224768</f>
        <v>215610</v>
      </c>
      <c r="G47" s="21">
        <f>+D47-233745</f>
        <v>222336</v>
      </c>
      <c r="H47" s="23">
        <f t="shared" si="16"/>
        <v>-0.030251511226252158</v>
      </c>
      <c r="I47" s="24">
        <f t="shared" si="17"/>
        <v>45.40048721779926</v>
      </c>
      <c r="J47" s="24">
        <f t="shared" si="18"/>
        <v>92.72935281294932</v>
      </c>
      <c r="K47" s="21">
        <v>19993375.76</v>
      </c>
      <c r="L47" s="21">
        <v>19442866.91</v>
      </c>
      <c r="M47" s="25">
        <f t="shared" si="19"/>
        <v>0.028314180853486155</v>
      </c>
      <c r="N47" s="10"/>
      <c r="R47" s="2"/>
    </row>
    <row r="48" spans="1:18" ht="15.75" customHeight="1">
      <c r="A48" s="177"/>
      <c r="B48" s="20">
        <f>DATE(2017,10,1)</f>
        <v>43009</v>
      </c>
      <c r="C48" s="21">
        <v>419713</v>
      </c>
      <c r="D48" s="21">
        <v>454176</v>
      </c>
      <c r="E48" s="23">
        <f t="shared" si="15"/>
        <v>-0.07588027548791658</v>
      </c>
      <c r="F48" s="21">
        <f>+C48-218072</f>
        <v>201641</v>
      </c>
      <c r="G48" s="21">
        <f>+D48-236207</f>
        <v>217969</v>
      </c>
      <c r="H48" s="23">
        <f t="shared" si="16"/>
        <v>-0.07490973487055498</v>
      </c>
      <c r="I48" s="24">
        <f t="shared" si="17"/>
        <v>43.245254471507906</v>
      </c>
      <c r="J48" s="24">
        <f t="shared" si="18"/>
        <v>90.01440922233077</v>
      </c>
      <c r="K48" s="21">
        <v>18150595.49</v>
      </c>
      <c r="L48" s="21">
        <v>19802463.97</v>
      </c>
      <c r="M48" s="25">
        <f t="shared" si="19"/>
        <v>-0.08341732031440735</v>
      </c>
      <c r="N48" s="10"/>
      <c r="R48" s="2"/>
    </row>
    <row r="49" spans="1:18" ht="15.75" customHeight="1">
      <c r="A49" s="177"/>
      <c r="B49" s="20">
        <f>DATE(2017,11,1)</f>
        <v>43040</v>
      </c>
      <c r="C49" s="21">
        <v>408603</v>
      </c>
      <c r="D49" s="21">
        <v>448954</v>
      </c>
      <c r="E49" s="23">
        <f t="shared" si="15"/>
        <v>-0.08987780485305845</v>
      </c>
      <c r="F49" s="21">
        <f>+C49-210845</f>
        <v>197758</v>
      </c>
      <c r="G49" s="21">
        <f>+D49-231857</f>
        <v>217097</v>
      </c>
      <c r="H49" s="23">
        <f t="shared" si="16"/>
        <v>-0.0890799964992607</v>
      </c>
      <c r="I49" s="24">
        <f t="shared" si="17"/>
        <v>45.199705288507424</v>
      </c>
      <c r="J49" s="24">
        <f t="shared" si="18"/>
        <v>93.39058435056988</v>
      </c>
      <c r="K49" s="21">
        <v>18468735.18</v>
      </c>
      <c r="L49" s="21">
        <v>18785567.54</v>
      </c>
      <c r="M49" s="25">
        <f t="shared" si="19"/>
        <v>-0.01686573266021216</v>
      </c>
      <c r="N49" s="10"/>
      <c r="R49" s="2"/>
    </row>
    <row r="50" spans="1:18" ht="15.75" customHeight="1">
      <c r="A50" s="177"/>
      <c r="B50" s="20">
        <f>DATE(2017,12,1)</f>
        <v>43070</v>
      </c>
      <c r="C50" s="21">
        <v>449629</v>
      </c>
      <c r="D50" s="21">
        <v>462580</v>
      </c>
      <c r="E50" s="23">
        <f t="shared" si="15"/>
        <v>-0.02799731938259328</v>
      </c>
      <c r="F50" s="21">
        <f>+C50-233187</f>
        <v>216442</v>
      </c>
      <c r="G50" s="21">
        <f>+D50-240615</f>
        <v>221965</v>
      </c>
      <c r="H50" s="23">
        <f t="shared" si="16"/>
        <v>-0.02488230126371275</v>
      </c>
      <c r="I50" s="24">
        <f t="shared" si="17"/>
        <v>44.81480227031619</v>
      </c>
      <c r="J50" s="24">
        <f t="shared" si="18"/>
        <v>93.09669440311954</v>
      </c>
      <c r="K50" s="21">
        <v>20150034.73</v>
      </c>
      <c r="L50" s="21">
        <v>19391377.46</v>
      </c>
      <c r="M50" s="25">
        <f t="shared" si="19"/>
        <v>0.0391234336789605</v>
      </c>
      <c r="N50" s="10"/>
      <c r="R50" s="2"/>
    </row>
    <row r="51" spans="1:18" ht="15.75" customHeight="1">
      <c r="A51" s="177"/>
      <c r="B51" s="20">
        <f>DATE(2018,1,1)</f>
        <v>43101</v>
      </c>
      <c r="C51" s="21">
        <v>391423</v>
      </c>
      <c r="D51" s="21">
        <v>435215</v>
      </c>
      <c r="E51" s="23">
        <f t="shared" si="15"/>
        <v>-0.10062153188653884</v>
      </c>
      <c r="F51" s="21">
        <f>+C51-204825</f>
        <v>186598</v>
      </c>
      <c r="G51" s="21">
        <f>+D51-229944</f>
        <v>205271</v>
      </c>
      <c r="H51" s="23">
        <f t="shared" si="16"/>
        <v>-0.0909675502141072</v>
      </c>
      <c r="I51" s="24">
        <f t="shared" si="17"/>
        <v>45.31673197538213</v>
      </c>
      <c r="J51" s="24">
        <f t="shared" si="18"/>
        <v>95.0600284033055</v>
      </c>
      <c r="K51" s="21">
        <v>17738011.18</v>
      </c>
      <c r="L51" s="21">
        <v>18255008.8</v>
      </c>
      <c r="M51" s="25">
        <f t="shared" si="19"/>
        <v>-0.028320863915442265</v>
      </c>
      <c r="N51" s="10"/>
      <c r="R51" s="2"/>
    </row>
    <row r="52" spans="1:18" ht="15.75" customHeight="1">
      <c r="A52" s="177"/>
      <c r="B52" s="20">
        <f>DATE(2018,2,1)</f>
        <v>43132</v>
      </c>
      <c r="C52" s="21">
        <v>413419</v>
      </c>
      <c r="D52" s="21">
        <v>459756</v>
      </c>
      <c r="E52" s="23">
        <f t="shared" si="15"/>
        <v>-0.10078606913232237</v>
      </c>
      <c r="F52" s="21">
        <f>+C52-213480</f>
        <v>199939</v>
      </c>
      <c r="G52" s="21">
        <f>+D52-240345</f>
        <v>219411</v>
      </c>
      <c r="H52" s="23">
        <f t="shared" si="16"/>
        <v>-0.08874669000186863</v>
      </c>
      <c r="I52" s="24">
        <f t="shared" si="17"/>
        <v>45.455958144158835</v>
      </c>
      <c r="J52" s="24">
        <f t="shared" si="18"/>
        <v>93.99045088752071</v>
      </c>
      <c r="K52" s="21">
        <v>18792356.76</v>
      </c>
      <c r="L52" s="21">
        <v>19482334.15</v>
      </c>
      <c r="M52" s="25">
        <f t="shared" si="19"/>
        <v>-0.035415540288328176</v>
      </c>
      <c r="N52" s="10"/>
      <c r="R52" s="2"/>
    </row>
    <row r="53" spans="1:18" ht="15.75" customHeight="1">
      <c r="A53" s="177"/>
      <c r="B53" s="20">
        <f>DATE(2018,3,1)</f>
        <v>43160</v>
      </c>
      <c r="C53" s="21">
        <v>490778</v>
      </c>
      <c r="D53" s="21">
        <v>502493</v>
      </c>
      <c r="E53" s="23">
        <f t="shared" si="15"/>
        <v>-0.023313757604583547</v>
      </c>
      <c r="F53" s="21">
        <f>+C53-253130</f>
        <v>237648</v>
      </c>
      <c r="G53" s="21">
        <f>+D53-261915</f>
        <v>240578</v>
      </c>
      <c r="H53" s="23">
        <f t="shared" si="16"/>
        <v>-0.012179002236280956</v>
      </c>
      <c r="I53" s="24">
        <f t="shared" si="17"/>
        <v>45.05374597068328</v>
      </c>
      <c r="J53" s="24">
        <f t="shared" si="18"/>
        <v>93.04259804416616</v>
      </c>
      <c r="K53" s="21">
        <v>22111387.34</v>
      </c>
      <c r="L53" s="21">
        <v>22951045.2</v>
      </c>
      <c r="M53" s="25">
        <f t="shared" si="19"/>
        <v>-0.036584732968936835</v>
      </c>
      <c r="N53" s="10"/>
      <c r="R53" s="2"/>
    </row>
    <row r="54" spans="1:18" ht="15.75" thickBot="1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Bot="1" thickTop="1">
      <c r="A55" s="39" t="s">
        <v>14</v>
      </c>
      <c r="B55" s="40"/>
      <c r="C55" s="41">
        <f>SUM(C45:C54)</f>
        <v>3970141</v>
      </c>
      <c r="D55" s="41">
        <f>SUM(D45:D54)</f>
        <v>4223251</v>
      </c>
      <c r="E55" s="280">
        <f>(+C55-D55)/D55</f>
        <v>-0.0599325022358368</v>
      </c>
      <c r="F55" s="41">
        <f>SUM(F45:F54)</f>
        <v>1922002</v>
      </c>
      <c r="G55" s="41">
        <f>SUM(G45:G54)</f>
        <v>2033420</v>
      </c>
      <c r="H55" s="42">
        <f>(+F55-G55)/G55</f>
        <v>-0.054793402248428755</v>
      </c>
      <c r="I55" s="43">
        <f>K55/C55</f>
        <v>44.43122439983869</v>
      </c>
      <c r="J55" s="43">
        <f>K55/F55</f>
        <v>91.77837779044974</v>
      </c>
      <c r="K55" s="41">
        <f>SUM(K45:K54)</f>
        <v>176398225.67</v>
      </c>
      <c r="L55" s="41">
        <f>SUM(L45:L54)</f>
        <v>179705034.24</v>
      </c>
      <c r="M55" s="44">
        <f>(+K55-L55)/L55</f>
        <v>-0.018401312929184316</v>
      </c>
      <c r="N55" s="10"/>
      <c r="R55" s="2"/>
    </row>
    <row r="56" spans="1:18" ht="15.75" thickTop="1">
      <c r="A56" s="38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>
      <c r="A57" s="19" t="s">
        <v>16</v>
      </c>
      <c r="B57" s="20">
        <f>DATE(2017,7,1)</f>
        <v>42917</v>
      </c>
      <c r="C57" s="21">
        <v>332127</v>
      </c>
      <c r="D57" s="21">
        <v>323462</v>
      </c>
      <c r="E57" s="23">
        <f aca="true" t="shared" si="20" ref="E57:E65">(+C57-D57)/D57</f>
        <v>0.026788308982198836</v>
      </c>
      <c r="F57" s="21">
        <f>+C57-153372</f>
        <v>178755</v>
      </c>
      <c r="G57" s="21">
        <f>+D57-151596</f>
        <v>171866</v>
      </c>
      <c r="H57" s="23">
        <f aca="true" t="shared" si="21" ref="H57:H65">(+F57-G57)/G57</f>
        <v>0.040083553466072404</v>
      </c>
      <c r="I57" s="24">
        <f aca="true" t="shared" si="22" ref="I57:I65">K57/C57</f>
        <v>51.14205313027848</v>
      </c>
      <c r="J57" s="24">
        <f aca="true" t="shared" si="23" ref="J57:J65">K57/F57</f>
        <v>95.02199479734833</v>
      </c>
      <c r="K57" s="21">
        <v>16985656.68</v>
      </c>
      <c r="L57" s="21">
        <v>13704607.39</v>
      </c>
      <c r="M57" s="25">
        <f aca="true" t="shared" si="24" ref="M57:M65">(+K57-L57)/L57</f>
        <v>0.23941213320668495</v>
      </c>
      <c r="N57" s="10"/>
      <c r="R57" s="2"/>
    </row>
    <row r="58" spans="1:18" ht="15.75">
      <c r="A58" s="19"/>
      <c r="B58" s="20">
        <f>DATE(2017,8,1)</f>
        <v>42948</v>
      </c>
      <c r="C58" s="21">
        <v>318460</v>
      </c>
      <c r="D58" s="21">
        <v>307862</v>
      </c>
      <c r="E58" s="23">
        <f t="shared" si="20"/>
        <v>0.03442451488004366</v>
      </c>
      <c r="F58" s="21">
        <f>+C58-146549</f>
        <v>171911</v>
      </c>
      <c r="G58" s="21">
        <f>+D58-143781</f>
        <v>164081</v>
      </c>
      <c r="H58" s="23">
        <f t="shared" si="21"/>
        <v>0.04772033325004114</v>
      </c>
      <c r="I58" s="24">
        <f t="shared" si="22"/>
        <v>48.91667229793381</v>
      </c>
      <c r="J58" s="24">
        <f t="shared" si="23"/>
        <v>90.61667641977536</v>
      </c>
      <c r="K58" s="21">
        <v>15578003.46</v>
      </c>
      <c r="L58" s="21">
        <v>14120994.54</v>
      </c>
      <c r="M58" s="25">
        <f t="shared" si="24"/>
        <v>0.10318033307588843</v>
      </c>
      <c r="N58" s="10"/>
      <c r="R58" s="2"/>
    </row>
    <row r="59" spans="1:18" ht="15.75">
      <c r="A59" s="19"/>
      <c r="B59" s="20">
        <f>DATE(2017,9,1)</f>
        <v>42979</v>
      </c>
      <c r="C59" s="21">
        <v>319116</v>
      </c>
      <c r="D59" s="21">
        <v>293770</v>
      </c>
      <c r="E59" s="23">
        <f t="shared" si="20"/>
        <v>0.08627838104639685</v>
      </c>
      <c r="F59" s="21">
        <f>+C59-146330</f>
        <v>172786</v>
      </c>
      <c r="G59" s="21">
        <f>+D59-134268</f>
        <v>159502</v>
      </c>
      <c r="H59" s="23">
        <f t="shared" si="21"/>
        <v>0.08328422214141515</v>
      </c>
      <c r="I59" s="24">
        <f t="shared" si="22"/>
        <v>48.81698181852367</v>
      </c>
      <c r="J59" s="24">
        <f t="shared" si="23"/>
        <v>90.15938773974743</v>
      </c>
      <c r="K59" s="21">
        <v>15578279.97</v>
      </c>
      <c r="L59" s="21">
        <v>14466452.66</v>
      </c>
      <c r="M59" s="25">
        <f t="shared" si="24"/>
        <v>0.07685555928124818</v>
      </c>
      <c r="N59" s="10"/>
      <c r="R59" s="2"/>
    </row>
    <row r="60" spans="1:18" ht="15.75">
      <c r="A60" s="19"/>
      <c r="B60" s="20">
        <f>DATE(2017,10,1)</f>
        <v>43009</v>
      </c>
      <c r="C60" s="21">
        <v>307325</v>
      </c>
      <c r="D60" s="21">
        <v>284233</v>
      </c>
      <c r="E60" s="23">
        <f t="shared" si="20"/>
        <v>0.08124320539838795</v>
      </c>
      <c r="F60" s="21">
        <f>+C60-144149</f>
        <v>163176</v>
      </c>
      <c r="G60" s="21">
        <f>+D60-134431</f>
        <v>149802</v>
      </c>
      <c r="H60" s="23">
        <f t="shared" si="21"/>
        <v>0.08927784675772019</v>
      </c>
      <c r="I60" s="24">
        <f t="shared" si="22"/>
        <v>46.718018937606764</v>
      </c>
      <c r="J60" s="24">
        <f t="shared" si="23"/>
        <v>87.98852263813306</v>
      </c>
      <c r="K60" s="21">
        <v>14357615.17</v>
      </c>
      <c r="L60" s="21">
        <v>13784707.47</v>
      </c>
      <c r="M60" s="25">
        <f t="shared" si="24"/>
        <v>0.04156110684588936</v>
      </c>
      <c r="N60" s="10"/>
      <c r="R60" s="2"/>
    </row>
    <row r="61" spans="1:18" ht="15.75">
      <c r="A61" s="19"/>
      <c r="B61" s="20">
        <f>DATE(2017,11,1)</f>
        <v>43040</v>
      </c>
      <c r="C61" s="21">
        <v>280587</v>
      </c>
      <c r="D61" s="21">
        <v>277688</v>
      </c>
      <c r="E61" s="23">
        <f t="shared" si="20"/>
        <v>0.010439774135000432</v>
      </c>
      <c r="F61" s="21">
        <f>+C61-134796</f>
        <v>145791</v>
      </c>
      <c r="G61" s="21">
        <f>+D61-132374</f>
        <v>145314</v>
      </c>
      <c r="H61" s="23">
        <f t="shared" si="21"/>
        <v>0.0032825467608076303</v>
      </c>
      <c r="I61" s="24">
        <f t="shared" si="22"/>
        <v>50.250457718996245</v>
      </c>
      <c r="J61" s="24">
        <f t="shared" si="23"/>
        <v>96.7112179764183</v>
      </c>
      <c r="K61" s="21">
        <v>14099625.18</v>
      </c>
      <c r="L61" s="21">
        <v>13247854.81</v>
      </c>
      <c r="M61" s="25">
        <f t="shared" si="24"/>
        <v>0.0642949656541412</v>
      </c>
      <c r="N61" s="10"/>
      <c r="R61" s="2"/>
    </row>
    <row r="62" spans="1:18" ht="15.75">
      <c r="A62" s="19"/>
      <c r="B62" s="20">
        <f>DATE(2017,12,1)</f>
        <v>43070</v>
      </c>
      <c r="C62" s="21">
        <v>306888</v>
      </c>
      <c r="D62" s="21">
        <v>285780</v>
      </c>
      <c r="E62" s="23">
        <f t="shared" si="20"/>
        <v>0.07386101196724754</v>
      </c>
      <c r="F62" s="21">
        <f>+C62-144117</f>
        <v>162771</v>
      </c>
      <c r="G62" s="21">
        <f>+D62-135388</f>
        <v>150392</v>
      </c>
      <c r="H62" s="23">
        <f t="shared" si="21"/>
        <v>0.08231155912548539</v>
      </c>
      <c r="I62" s="24">
        <f t="shared" si="22"/>
        <v>48.35359821824249</v>
      </c>
      <c r="J62" s="24">
        <f t="shared" si="23"/>
        <v>91.16574236196865</v>
      </c>
      <c r="K62" s="21">
        <v>14839139.05</v>
      </c>
      <c r="L62" s="21">
        <v>13898760.5</v>
      </c>
      <c r="M62" s="25">
        <f t="shared" si="24"/>
        <v>0.06765916644149676</v>
      </c>
      <c r="N62" s="10"/>
      <c r="R62" s="2"/>
    </row>
    <row r="63" spans="1:18" ht="15.75">
      <c r="A63" s="19"/>
      <c r="B63" s="20">
        <f>DATE(2018,1,1)</f>
        <v>43101</v>
      </c>
      <c r="C63" s="21">
        <v>266691</v>
      </c>
      <c r="D63" s="21">
        <v>275583</v>
      </c>
      <c r="E63" s="23">
        <f t="shared" si="20"/>
        <v>-0.032266141235126986</v>
      </c>
      <c r="F63" s="21">
        <f>+C63-126275</f>
        <v>140416</v>
      </c>
      <c r="G63" s="21">
        <f>+D63-132566</f>
        <v>143017</v>
      </c>
      <c r="H63" s="23">
        <f t="shared" si="21"/>
        <v>-0.018186649139612772</v>
      </c>
      <c r="I63" s="24">
        <f t="shared" si="22"/>
        <v>46.74836766145089</v>
      </c>
      <c r="J63" s="24">
        <f t="shared" si="23"/>
        <v>88.78880554922516</v>
      </c>
      <c r="K63" s="21">
        <v>12467368.92</v>
      </c>
      <c r="L63" s="21">
        <v>12186474.27</v>
      </c>
      <c r="M63" s="25">
        <f t="shared" si="24"/>
        <v>0.023049706073847098</v>
      </c>
      <c r="N63" s="10"/>
      <c r="R63" s="2"/>
    </row>
    <row r="64" spans="1:18" ht="15.75">
      <c r="A64" s="19"/>
      <c r="B64" s="20">
        <f>DATE(2018,2,1)</f>
        <v>43132</v>
      </c>
      <c r="C64" s="21">
        <v>270857</v>
      </c>
      <c r="D64" s="21">
        <v>278731</v>
      </c>
      <c r="E64" s="23">
        <f t="shared" si="20"/>
        <v>-0.028249459155960405</v>
      </c>
      <c r="F64" s="21">
        <f>+C64-128704</f>
        <v>142153</v>
      </c>
      <c r="G64" s="21">
        <f>+D64-133384</f>
        <v>145347</v>
      </c>
      <c r="H64" s="23">
        <f t="shared" si="21"/>
        <v>-0.021974997763971736</v>
      </c>
      <c r="I64" s="24">
        <f t="shared" si="22"/>
        <v>47.54318647847388</v>
      </c>
      <c r="J64" s="24">
        <f t="shared" si="23"/>
        <v>90.58834396741538</v>
      </c>
      <c r="K64" s="21">
        <v>12877404.86</v>
      </c>
      <c r="L64" s="21">
        <v>13844058.48</v>
      </c>
      <c r="M64" s="25">
        <f t="shared" si="24"/>
        <v>-0.06982443922759282</v>
      </c>
      <c r="N64" s="10"/>
      <c r="R64" s="2"/>
    </row>
    <row r="65" spans="1:18" ht="15.75">
      <c r="A65" s="19"/>
      <c r="B65" s="20">
        <f>DATE(2018,3,1)</f>
        <v>43160</v>
      </c>
      <c r="C65" s="21">
        <v>316012</v>
      </c>
      <c r="D65" s="21">
        <v>329982</v>
      </c>
      <c r="E65" s="23">
        <f t="shared" si="20"/>
        <v>-0.042335642550199705</v>
      </c>
      <c r="F65" s="21">
        <f>+C65-148434</f>
        <v>167578</v>
      </c>
      <c r="G65" s="21">
        <f>+D65-154395</f>
        <v>175587</v>
      </c>
      <c r="H65" s="23">
        <f t="shared" si="21"/>
        <v>-0.045612716203363574</v>
      </c>
      <c r="I65" s="24">
        <f t="shared" si="22"/>
        <v>49.34473244686911</v>
      </c>
      <c r="J65" s="24">
        <f t="shared" si="23"/>
        <v>93.05235526143049</v>
      </c>
      <c r="K65" s="21">
        <v>15593527.59</v>
      </c>
      <c r="L65" s="21">
        <v>16476940.38</v>
      </c>
      <c r="M65" s="25">
        <f t="shared" si="24"/>
        <v>-0.05361509901876582</v>
      </c>
      <c r="N65" s="10"/>
      <c r="R65" s="2"/>
    </row>
    <row r="66" spans="1:18" ht="15.75" thickBot="1">
      <c r="A66" s="38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Bot="1" thickTop="1">
      <c r="A67" s="39" t="s">
        <v>14</v>
      </c>
      <c r="B67" s="40"/>
      <c r="C67" s="41">
        <f>SUM(C57:C66)</f>
        <v>2718063</v>
      </c>
      <c r="D67" s="41">
        <f>SUM(D57:D66)</f>
        <v>2657091</v>
      </c>
      <c r="E67" s="281">
        <f>(+C67-D67)/D67</f>
        <v>0.022946899447553733</v>
      </c>
      <c r="F67" s="47">
        <f>SUM(F57:F66)</f>
        <v>1445337</v>
      </c>
      <c r="G67" s="48">
        <f>SUM(G57:G66)</f>
        <v>1404908</v>
      </c>
      <c r="H67" s="49">
        <f>(+F67-G67)/G67</f>
        <v>0.028776973296472084</v>
      </c>
      <c r="I67" s="50">
        <f>K67/C67</f>
        <v>48.70255799074562</v>
      </c>
      <c r="J67" s="51">
        <f>K67/F67</f>
        <v>91.58875810970038</v>
      </c>
      <c r="K67" s="48">
        <f>SUM(K57:K66)</f>
        <v>132376620.88000001</v>
      </c>
      <c r="L67" s="47">
        <f>SUM(L57:L66)</f>
        <v>125730850.5</v>
      </c>
      <c r="M67" s="44">
        <f>(+K67-L67)/L67</f>
        <v>0.052857117832031286</v>
      </c>
      <c r="N67" s="10"/>
      <c r="R67" s="2"/>
    </row>
    <row r="68" spans="1:18" ht="15.75" customHeight="1" thickTop="1">
      <c r="A68" s="273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>
      <c r="A69" s="274" t="s">
        <v>66</v>
      </c>
      <c r="B69" s="20">
        <f>DATE(2017,7,1)</f>
        <v>42917</v>
      </c>
      <c r="C69" s="21">
        <v>155680</v>
      </c>
      <c r="D69" s="21">
        <v>180124</v>
      </c>
      <c r="E69" s="23">
        <f aca="true" t="shared" si="25" ref="E69:E77">(+C69-D69)/D69</f>
        <v>-0.13570651329084407</v>
      </c>
      <c r="F69" s="21">
        <f>+C69-76075</f>
        <v>79605</v>
      </c>
      <c r="G69" s="21">
        <f>+D69-87090</f>
        <v>93034</v>
      </c>
      <c r="H69" s="23">
        <f aca="true" t="shared" si="26" ref="H69:H77">(+F69-G69)/G69</f>
        <v>-0.14434507814347444</v>
      </c>
      <c r="I69" s="24">
        <f aca="true" t="shared" si="27" ref="I69:I77">K69/C69</f>
        <v>36.584776336074</v>
      </c>
      <c r="J69" s="24">
        <f aca="true" t="shared" si="28" ref="J69:J77">K69/F69</f>
        <v>71.5472392437661</v>
      </c>
      <c r="K69" s="21">
        <v>5695517.98</v>
      </c>
      <c r="L69" s="21">
        <v>6090878.36</v>
      </c>
      <c r="M69" s="25">
        <f aca="true" t="shared" si="29" ref="M69:M77">(+K69-L69)/L69</f>
        <v>-0.06491024063071256</v>
      </c>
      <c r="N69" s="10"/>
      <c r="R69" s="2"/>
    </row>
    <row r="70" spans="1:18" ht="15.75">
      <c r="A70" s="274"/>
      <c r="B70" s="20">
        <f>DATE(2017,8,1)</f>
        <v>42948</v>
      </c>
      <c r="C70" s="21">
        <v>137297</v>
      </c>
      <c r="D70" s="21">
        <v>157062</v>
      </c>
      <c r="E70" s="23">
        <f t="shared" si="25"/>
        <v>-0.12584202416879958</v>
      </c>
      <c r="F70" s="21">
        <f>+C70-65122</f>
        <v>72175</v>
      </c>
      <c r="G70" s="21">
        <f>+D70-74517</f>
        <v>82545</v>
      </c>
      <c r="H70" s="23">
        <f t="shared" si="26"/>
        <v>-0.12562844509055668</v>
      </c>
      <c r="I70" s="24">
        <f t="shared" si="27"/>
        <v>37.46472952795764</v>
      </c>
      <c r="J70" s="24">
        <f t="shared" si="28"/>
        <v>71.26837506061655</v>
      </c>
      <c r="K70" s="21">
        <v>5143794.97</v>
      </c>
      <c r="L70" s="21">
        <v>5605573.68</v>
      </c>
      <c r="M70" s="25">
        <f t="shared" si="29"/>
        <v>-0.08237849261487185</v>
      </c>
      <c r="N70" s="10"/>
      <c r="R70" s="2"/>
    </row>
    <row r="71" spans="1:18" ht="15.75">
      <c r="A71" s="274"/>
      <c r="B71" s="20">
        <f>DATE(2017,9,1)</f>
        <v>42979</v>
      </c>
      <c r="C71" s="21">
        <v>151497</v>
      </c>
      <c r="D71" s="21">
        <v>163013</v>
      </c>
      <c r="E71" s="23">
        <f t="shared" si="25"/>
        <v>-0.07064467251078135</v>
      </c>
      <c r="F71" s="21">
        <f>+C71-72439</f>
        <v>79058</v>
      </c>
      <c r="G71" s="21">
        <f>+D71-75491</f>
        <v>87522</v>
      </c>
      <c r="H71" s="23">
        <f t="shared" si="26"/>
        <v>-0.09670711363999909</v>
      </c>
      <c r="I71" s="24">
        <f t="shared" si="27"/>
        <v>38.87039182294039</v>
      </c>
      <c r="J71" s="24">
        <f t="shared" si="28"/>
        <v>74.48642452376735</v>
      </c>
      <c r="K71" s="21">
        <v>5888747.75</v>
      </c>
      <c r="L71" s="21">
        <v>5567122.49</v>
      </c>
      <c r="M71" s="25">
        <f t="shared" si="29"/>
        <v>0.05777226216554825</v>
      </c>
      <c r="N71" s="10"/>
      <c r="R71" s="2"/>
    </row>
    <row r="72" spans="1:18" ht="15.75">
      <c r="A72" s="274"/>
      <c r="B72" s="20">
        <f>DATE(2017,10,1)</f>
        <v>43009</v>
      </c>
      <c r="C72" s="21">
        <v>146324</v>
      </c>
      <c r="D72" s="21">
        <v>149865</v>
      </c>
      <c r="E72" s="23">
        <f t="shared" si="25"/>
        <v>-0.02362793180529143</v>
      </c>
      <c r="F72" s="21">
        <f>+C72-70503</f>
        <v>75821</v>
      </c>
      <c r="G72" s="21">
        <f>+D72-72452</f>
        <v>77413</v>
      </c>
      <c r="H72" s="23">
        <f t="shared" si="26"/>
        <v>-0.02056502137883818</v>
      </c>
      <c r="I72" s="24">
        <f t="shared" si="27"/>
        <v>35.309381919575735</v>
      </c>
      <c r="J72" s="24">
        <f t="shared" si="28"/>
        <v>68.1422033473576</v>
      </c>
      <c r="K72" s="21">
        <v>5166610</v>
      </c>
      <c r="L72" s="21">
        <v>5218721.49</v>
      </c>
      <c r="M72" s="25">
        <f t="shared" si="29"/>
        <v>-0.009985489760251648</v>
      </c>
      <c r="N72" s="10"/>
      <c r="R72" s="2"/>
    </row>
    <row r="73" spans="1:18" ht="15.75">
      <c r="A73" s="274"/>
      <c r="B73" s="20">
        <f>DATE(2017,11,1)</f>
        <v>43040</v>
      </c>
      <c r="C73" s="21">
        <v>136794</v>
      </c>
      <c r="D73" s="21">
        <v>147842</v>
      </c>
      <c r="E73" s="23">
        <f t="shared" si="25"/>
        <v>-0.07472842629293434</v>
      </c>
      <c r="F73" s="21">
        <f>+C73-66771</f>
        <v>70023</v>
      </c>
      <c r="G73" s="21">
        <f>+D73-70415</f>
        <v>77427</v>
      </c>
      <c r="H73" s="23">
        <f t="shared" si="26"/>
        <v>-0.0956255569762486</v>
      </c>
      <c r="I73" s="24">
        <f t="shared" si="27"/>
        <v>36.99776825006945</v>
      </c>
      <c r="J73" s="24">
        <f t="shared" si="28"/>
        <v>72.27729046170543</v>
      </c>
      <c r="K73" s="21">
        <v>5061072.71</v>
      </c>
      <c r="L73" s="21">
        <v>5196102.88</v>
      </c>
      <c r="M73" s="25">
        <f t="shared" si="29"/>
        <v>-0.025986816103995218</v>
      </c>
      <c r="N73" s="10"/>
      <c r="R73" s="2"/>
    </row>
    <row r="74" spans="1:18" ht="15.75">
      <c r="A74" s="274"/>
      <c r="B74" s="20">
        <f>DATE(2017,12,1)</f>
        <v>43070</v>
      </c>
      <c r="C74" s="21">
        <v>153482</v>
      </c>
      <c r="D74" s="21">
        <v>154347</v>
      </c>
      <c r="E74" s="23">
        <f t="shared" si="25"/>
        <v>-0.005604255346718757</v>
      </c>
      <c r="F74" s="21">
        <f>+C74-73779</f>
        <v>79703</v>
      </c>
      <c r="G74" s="21">
        <f>+D74-72503</f>
        <v>81844</v>
      </c>
      <c r="H74" s="23">
        <f t="shared" si="26"/>
        <v>-0.026159522994966034</v>
      </c>
      <c r="I74" s="24">
        <f t="shared" si="27"/>
        <v>36.682315971905496</v>
      </c>
      <c r="J74" s="24">
        <f t="shared" si="28"/>
        <v>70.63818450999335</v>
      </c>
      <c r="K74" s="21">
        <v>5630075.22</v>
      </c>
      <c r="L74" s="21">
        <v>5388733.45</v>
      </c>
      <c r="M74" s="25">
        <f t="shared" si="29"/>
        <v>0.044786362554265796</v>
      </c>
      <c r="N74" s="10"/>
      <c r="R74" s="2"/>
    </row>
    <row r="75" spans="1:18" ht="15.75">
      <c r="A75" s="274"/>
      <c r="B75" s="20">
        <f>DATE(2018,1,1)</f>
        <v>43101</v>
      </c>
      <c r="C75" s="21">
        <v>133357</v>
      </c>
      <c r="D75" s="21">
        <v>138565</v>
      </c>
      <c r="E75" s="23">
        <f t="shared" si="25"/>
        <v>-0.03758524880020207</v>
      </c>
      <c r="F75" s="21">
        <f>+C75-65017</f>
        <v>68340</v>
      </c>
      <c r="G75" s="21">
        <f>+D75-68255</f>
        <v>70310</v>
      </c>
      <c r="H75" s="23">
        <f t="shared" si="26"/>
        <v>-0.028018774000853362</v>
      </c>
      <c r="I75" s="24">
        <f t="shared" si="27"/>
        <v>34.19650239582474</v>
      </c>
      <c r="J75" s="24">
        <f t="shared" si="28"/>
        <v>66.73021612525606</v>
      </c>
      <c r="K75" s="21">
        <v>4560342.97</v>
      </c>
      <c r="L75" s="21">
        <v>5246601.47</v>
      </c>
      <c r="M75" s="25">
        <f t="shared" si="29"/>
        <v>-0.13080057708290163</v>
      </c>
      <c r="N75" s="10"/>
      <c r="R75" s="2"/>
    </row>
    <row r="76" spans="1:18" ht="15.75">
      <c r="A76" s="274"/>
      <c r="B76" s="20">
        <f>DATE(2018,2,1)</f>
        <v>43132</v>
      </c>
      <c r="C76" s="21">
        <v>149919</v>
      </c>
      <c r="D76" s="21">
        <v>152112</v>
      </c>
      <c r="E76" s="23">
        <f t="shared" si="25"/>
        <v>-0.014417008520037867</v>
      </c>
      <c r="F76" s="21">
        <f>+C76-75208</f>
        <v>74711</v>
      </c>
      <c r="G76" s="21">
        <f>+D76-73694</f>
        <v>78418</v>
      </c>
      <c r="H76" s="23">
        <f t="shared" si="26"/>
        <v>-0.04727230992884287</v>
      </c>
      <c r="I76" s="24">
        <f t="shared" si="27"/>
        <v>35.753961739339246</v>
      </c>
      <c r="J76" s="24">
        <f t="shared" si="28"/>
        <v>71.74576956539198</v>
      </c>
      <c r="K76" s="21">
        <v>5360198.19</v>
      </c>
      <c r="L76" s="21">
        <v>5660374.15</v>
      </c>
      <c r="M76" s="25">
        <f t="shared" si="29"/>
        <v>-0.053031116326471096</v>
      </c>
      <c r="N76" s="10"/>
      <c r="R76" s="2"/>
    </row>
    <row r="77" spans="1:18" ht="15.75">
      <c r="A77" s="274"/>
      <c r="B77" s="20">
        <f>DATE(2018,3,1)</f>
        <v>43160</v>
      </c>
      <c r="C77" s="21">
        <v>167097</v>
      </c>
      <c r="D77" s="21">
        <v>155705</v>
      </c>
      <c r="E77" s="23">
        <f t="shared" si="25"/>
        <v>0.07316399601811117</v>
      </c>
      <c r="F77" s="21">
        <f>+C77-81379</f>
        <v>85718</v>
      </c>
      <c r="G77" s="21">
        <f>+D77-74472</f>
        <v>81233</v>
      </c>
      <c r="H77" s="23">
        <f t="shared" si="26"/>
        <v>0.05521155195548607</v>
      </c>
      <c r="I77" s="24">
        <f t="shared" si="27"/>
        <v>39.43236150260029</v>
      </c>
      <c r="J77" s="24">
        <f t="shared" si="28"/>
        <v>76.86867764063557</v>
      </c>
      <c r="K77" s="21">
        <v>6589029.31</v>
      </c>
      <c r="L77" s="21">
        <v>6002268</v>
      </c>
      <c r="M77" s="25">
        <f t="shared" si="29"/>
        <v>0.09775659967199059</v>
      </c>
      <c r="N77" s="10"/>
      <c r="R77" s="2"/>
    </row>
    <row r="78" spans="1:18" ht="15.75" customHeight="1" thickBot="1">
      <c r="A78" s="19"/>
      <c r="B78" s="20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customHeight="1" thickBot="1" thickTop="1">
      <c r="A79" s="39" t="s">
        <v>14</v>
      </c>
      <c r="B79" s="52"/>
      <c r="C79" s="47">
        <f>SUM(C69:C78)</f>
        <v>1331447</v>
      </c>
      <c r="D79" s="48">
        <f>SUM(D69:D78)</f>
        <v>1398635</v>
      </c>
      <c r="E79" s="281">
        <f>(+C79-D79)/D79</f>
        <v>-0.04803826588066222</v>
      </c>
      <c r="F79" s="48">
        <f>SUM(F69:F78)</f>
        <v>685154</v>
      </c>
      <c r="G79" s="47">
        <f>SUM(G69:G78)</f>
        <v>729746</v>
      </c>
      <c r="H79" s="46">
        <f>(+F79-G79)/G79</f>
        <v>-0.06110619311376835</v>
      </c>
      <c r="I79" s="51">
        <f>K79/C79</f>
        <v>36.87370890467289</v>
      </c>
      <c r="J79" s="50">
        <f>K79/F79</f>
        <v>71.65599135376864</v>
      </c>
      <c r="K79" s="47">
        <f>SUM(K69:K78)</f>
        <v>49095389.1</v>
      </c>
      <c r="L79" s="48">
        <f>SUM(L69:L78)</f>
        <v>49976375.97</v>
      </c>
      <c r="M79" s="44">
        <f>(+K79-L79)/L79</f>
        <v>-0.017628066319351352</v>
      </c>
      <c r="N79" s="10"/>
      <c r="R79" s="2"/>
    </row>
    <row r="80" spans="1:18" ht="15.75" customHeight="1" thickTop="1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.75">
      <c r="A81" s="19" t="s">
        <v>17</v>
      </c>
      <c r="B81" s="20">
        <f>DATE(2017,7,1)</f>
        <v>42917</v>
      </c>
      <c r="C81" s="21">
        <v>176619</v>
      </c>
      <c r="D81" s="21">
        <v>186981</v>
      </c>
      <c r="E81" s="23">
        <f aca="true" t="shared" si="30" ref="E81:E89">(+C81-D81)/D81</f>
        <v>-0.05541739535032971</v>
      </c>
      <c r="F81" s="21">
        <f>+C81-82680</f>
        <v>93939</v>
      </c>
      <c r="G81" s="21">
        <f>+D81-86212</f>
        <v>100769</v>
      </c>
      <c r="H81" s="23">
        <f aca="true" t="shared" si="31" ref="H81:H89">(+F81-G81)/G81</f>
        <v>-0.06777878117278131</v>
      </c>
      <c r="I81" s="24">
        <f aca="true" t="shared" si="32" ref="I81:I89">K81/C81</f>
        <v>35.01759674780177</v>
      </c>
      <c r="J81" s="24">
        <f aca="true" t="shared" si="33" ref="J81:J89">K81/F81</f>
        <v>65.83818137301866</v>
      </c>
      <c r="K81" s="21">
        <v>6184772.92</v>
      </c>
      <c r="L81" s="21">
        <v>6390595.25</v>
      </c>
      <c r="M81" s="25">
        <f aca="true" t="shared" si="34" ref="M81:M89">(+K81-L81)/L81</f>
        <v>-0.03220706709597984</v>
      </c>
      <c r="N81" s="10"/>
      <c r="R81" s="2"/>
    </row>
    <row r="82" spans="1:18" ht="15.75">
      <c r="A82" s="19"/>
      <c r="B82" s="20">
        <f>DATE(2017,8,1)</f>
        <v>42948</v>
      </c>
      <c r="C82" s="21">
        <v>166602</v>
      </c>
      <c r="D82" s="21">
        <v>177226</v>
      </c>
      <c r="E82" s="23">
        <f t="shared" si="30"/>
        <v>-0.05994605757620214</v>
      </c>
      <c r="F82" s="21">
        <f>+C82-77233</f>
        <v>89369</v>
      </c>
      <c r="G82" s="21">
        <f>+D82-81305</f>
        <v>95921</v>
      </c>
      <c r="H82" s="23">
        <f t="shared" si="31"/>
        <v>-0.06830621031890827</v>
      </c>
      <c r="I82" s="24">
        <f t="shared" si="32"/>
        <v>35.4879793159746</v>
      </c>
      <c r="J82" s="24">
        <f t="shared" si="33"/>
        <v>66.15681421969587</v>
      </c>
      <c r="K82" s="21">
        <v>5912368.33</v>
      </c>
      <c r="L82" s="21">
        <v>6124719.61</v>
      </c>
      <c r="M82" s="25">
        <f t="shared" si="34"/>
        <v>-0.034671183910735835</v>
      </c>
      <c r="N82" s="10"/>
      <c r="R82" s="2"/>
    </row>
    <row r="83" spans="1:18" ht="15.75">
      <c r="A83" s="19"/>
      <c r="B83" s="20">
        <f>DATE(2017,9,1)</f>
        <v>42979</v>
      </c>
      <c r="C83" s="21">
        <v>169194</v>
      </c>
      <c r="D83" s="21">
        <v>170326</v>
      </c>
      <c r="E83" s="23">
        <f t="shared" si="30"/>
        <v>-0.006646078696147388</v>
      </c>
      <c r="F83" s="21">
        <f>+C83-79368</f>
        <v>89826</v>
      </c>
      <c r="G83" s="21">
        <f>+D83-79229</f>
        <v>91097</v>
      </c>
      <c r="H83" s="23">
        <f t="shared" si="31"/>
        <v>-0.0139521608834539</v>
      </c>
      <c r="I83" s="24">
        <f t="shared" si="32"/>
        <v>34.892878825490264</v>
      </c>
      <c r="J83" s="24">
        <f t="shared" si="33"/>
        <v>65.72335114554807</v>
      </c>
      <c r="K83" s="21">
        <v>5903665.74</v>
      </c>
      <c r="L83" s="21">
        <v>5838814.34</v>
      </c>
      <c r="M83" s="25">
        <f t="shared" si="34"/>
        <v>0.011106946757276132</v>
      </c>
      <c r="N83" s="10"/>
      <c r="R83" s="2"/>
    </row>
    <row r="84" spans="1:18" ht="15.75">
      <c r="A84" s="19"/>
      <c r="B84" s="20">
        <f>DATE(2017,10,1)</f>
        <v>43009</v>
      </c>
      <c r="C84" s="21">
        <v>167767</v>
      </c>
      <c r="D84" s="21">
        <v>175657</v>
      </c>
      <c r="E84" s="23">
        <f t="shared" si="30"/>
        <v>-0.04491708272371724</v>
      </c>
      <c r="F84" s="21">
        <f>+C84-77884</f>
        <v>89883</v>
      </c>
      <c r="G84" s="21">
        <f>+D84-84134</f>
        <v>91523</v>
      </c>
      <c r="H84" s="23">
        <f t="shared" si="31"/>
        <v>-0.017918993040000875</v>
      </c>
      <c r="I84" s="24">
        <f t="shared" si="32"/>
        <v>34.45476500146036</v>
      </c>
      <c r="J84" s="24">
        <f t="shared" si="33"/>
        <v>64.30996473192928</v>
      </c>
      <c r="K84" s="21">
        <v>5780372.56</v>
      </c>
      <c r="L84" s="21">
        <v>6097419.37</v>
      </c>
      <c r="M84" s="25">
        <f t="shared" si="34"/>
        <v>-0.051996884380285054</v>
      </c>
      <c r="N84" s="10"/>
      <c r="R84" s="2"/>
    </row>
    <row r="85" spans="1:18" ht="15.75">
      <c r="A85" s="19"/>
      <c r="B85" s="20">
        <f>DATE(2017,11,1)</f>
        <v>43040</v>
      </c>
      <c r="C85" s="21">
        <v>158513</v>
      </c>
      <c r="D85" s="21">
        <v>164706</v>
      </c>
      <c r="E85" s="23">
        <f t="shared" si="30"/>
        <v>-0.037600330285478364</v>
      </c>
      <c r="F85" s="21">
        <f>+C85-75019</f>
        <v>83494</v>
      </c>
      <c r="G85" s="21">
        <f>+D85-79591</f>
        <v>85115</v>
      </c>
      <c r="H85" s="23">
        <f t="shared" si="31"/>
        <v>-0.01904482171180168</v>
      </c>
      <c r="I85" s="24">
        <f t="shared" si="32"/>
        <v>36.12939885056746</v>
      </c>
      <c r="J85" s="24">
        <f t="shared" si="33"/>
        <v>68.59150837185906</v>
      </c>
      <c r="K85" s="21">
        <v>5726979.4</v>
      </c>
      <c r="L85" s="21">
        <v>5895263.92</v>
      </c>
      <c r="M85" s="25">
        <f t="shared" si="34"/>
        <v>-0.028545714370663756</v>
      </c>
      <c r="N85" s="10"/>
      <c r="R85" s="2"/>
    </row>
    <row r="86" spans="1:18" ht="15.75">
      <c r="A86" s="19"/>
      <c r="B86" s="20">
        <f>DATE(2017,12,1)</f>
        <v>43070</v>
      </c>
      <c r="C86" s="21">
        <v>166668</v>
      </c>
      <c r="D86" s="21">
        <v>171124</v>
      </c>
      <c r="E86" s="23">
        <f t="shared" si="30"/>
        <v>-0.026039597017367522</v>
      </c>
      <c r="F86" s="21">
        <f>+C86-80383</f>
        <v>86285</v>
      </c>
      <c r="G86" s="21">
        <f>+D86-82050</f>
        <v>89074</v>
      </c>
      <c r="H86" s="23">
        <f t="shared" si="31"/>
        <v>-0.03131104474930956</v>
      </c>
      <c r="I86" s="24">
        <f t="shared" si="32"/>
        <v>35.4193077255382</v>
      </c>
      <c r="J86" s="24">
        <f t="shared" si="33"/>
        <v>68.4158912904908</v>
      </c>
      <c r="K86" s="21">
        <v>5903265.18</v>
      </c>
      <c r="L86" s="21">
        <v>6108577.06</v>
      </c>
      <c r="M86" s="25">
        <f t="shared" si="34"/>
        <v>-0.03361042645175371</v>
      </c>
      <c r="N86" s="10"/>
      <c r="R86" s="2"/>
    </row>
    <row r="87" spans="1:18" ht="15.75">
      <c r="A87" s="19"/>
      <c r="B87" s="20">
        <f>DATE(2018,1,1)</f>
        <v>43101</v>
      </c>
      <c r="C87" s="21">
        <v>147576</v>
      </c>
      <c r="D87" s="21">
        <v>166488</v>
      </c>
      <c r="E87" s="23">
        <f t="shared" si="30"/>
        <v>-0.11359377252414589</v>
      </c>
      <c r="F87" s="21">
        <f>+C87-71568</f>
        <v>76008</v>
      </c>
      <c r="G87" s="21">
        <f>+D87-79943</f>
        <v>86545</v>
      </c>
      <c r="H87" s="23">
        <f t="shared" si="31"/>
        <v>-0.12175168987232075</v>
      </c>
      <c r="I87" s="24">
        <f t="shared" si="32"/>
        <v>35.84069476066569</v>
      </c>
      <c r="J87" s="24">
        <f t="shared" si="33"/>
        <v>69.58775878854857</v>
      </c>
      <c r="K87" s="21">
        <v>5289226.37</v>
      </c>
      <c r="L87" s="21">
        <v>5638935.65</v>
      </c>
      <c r="M87" s="25">
        <f t="shared" si="34"/>
        <v>-0.06201689497910838</v>
      </c>
      <c r="N87" s="10"/>
      <c r="R87" s="2"/>
    </row>
    <row r="88" spans="1:18" ht="15.75">
      <c r="A88" s="19"/>
      <c r="B88" s="20">
        <f>DATE(2018,2,1)</f>
        <v>43132</v>
      </c>
      <c r="C88" s="21">
        <v>152976</v>
      </c>
      <c r="D88" s="21">
        <v>177136</v>
      </c>
      <c r="E88" s="23">
        <f t="shared" si="30"/>
        <v>-0.1363923764790895</v>
      </c>
      <c r="F88" s="21">
        <f>+C88-75431</f>
        <v>77545</v>
      </c>
      <c r="G88" s="21">
        <f>+D88-84594</f>
        <v>92542</v>
      </c>
      <c r="H88" s="23">
        <f t="shared" si="31"/>
        <v>-0.1620561474789825</v>
      </c>
      <c r="I88" s="24">
        <f t="shared" si="32"/>
        <v>35.82300524265244</v>
      </c>
      <c r="J88" s="24">
        <f t="shared" si="33"/>
        <v>70.66941840221807</v>
      </c>
      <c r="K88" s="21">
        <v>5480060.05</v>
      </c>
      <c r="L88" s="21">
        <v>6392111.96</v>
      </c>
      <c r="M88" s="25">
        <f t="shared" si="34"/>
        <v>-0.14268396982208054</v>
      </c>
      <c r="N88" s="10"/>
      <c r="R88" s="2"/>
    </row>
    <row r="89" spans="1:18" ht="15.75">
      <c r="A89" s="19"/>
      <c r="B89" s="20">
        <f>DATE(2018,3,1)</f>
        <v>43160</v>
      </c>
      <c r="C89" s="21">
        <v>186939</v>
      </c>
      <c r="D89" s="21">
        <v>199079</v>
      </c>
      <c r="E89" s="23">
        <f t="shared" si="30"/>
        <v>-0.06098081666072263</v>
      </c>
      <c r="F89" s="21">
        <f>+C89-91616</f>
        <v>95323</v>
      </c>
      <c r="G89" s="21">
        <f>+D89-94435</f>
        <v>104644</v>
      </c>
      <c r="H89" s="23">
        <f t="shared" si="31"/>
        <v>-0.08907342991475861</v>
      </c>
      <c r="I89" s="24">
        <f t="shared" si="32"/>
        <v>36.43876644252938</v>
      </c>
      <c r="J89" s="24">
        <f t="shared" si="33"/>
        <v>71.46047186932849</v>
      </c>
      <c r="K89" s="21">
        <v>6811826.56</v>
      </c>
      <c r="L89" s="21">
        <v>7457849.64</v>
      </c>
      <c r="M89" s="25">
        <f t="shared" si="34"/>
        <v>-0.08662323741887616</v>
      </c>
      <c r="N89" s="10"/>
      <c r="R89" s="2"/>
    </row>
    <row r="90" spans="1:18" ht="15.75" customHeight="1" thickBot="1">
      <c r="A90" s="19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customHeight="1" thickBot="1" thickTop="1">
      <c r="A91" s="39" t="s">
        <v>14</v>
      </c>
      <c r="B91" s="52"/>
      <c r="C91" s="47">
        <f>SUM(C81:C90)</f>
        <v>1492854</v>
      </c>
      <c r="D91" s="48">
        <f>SUM(D81:D90)</f>
        <v>1588723</v>
      </c>
      <c r="E91" s="281">
        <f>(+C91-D91)/D91</f>
        <v>-0.060343433059129876</v>
      </c>
      <c r="F91" s="48">
        <f>SUM(F81:F90)</f>
        <v>781672</v>
      </c>
      <c r="G91" s="47">
        <f>SUM(G81:G90)</f>
        <v>837230</v>
      </c>
      <c r="H91" s="53">
        <f>(+F91-G91)/G91</f>
        <v>-0.06635930389498704</v>
      </c>
      <c r="I91" s="51">
        <f>K91/C91</f>
        <v>35.49746801093744</v>
      </c>
      <c r="J91" s="50">
        <f>K91/F91</f>
        <v>67.79382798667471</v>
      </c>
      <c r="K91" s="47">
        <f>SUM(K81:K90)</f>
        <v>52992537.11</v>
      </c>
      <c r="L91" s="48">
        <f>SUM(L81:L90)</f>
        <v>55944286.800000004</v>
      </c>
      <c r="M91" s="44">
        <f>(+K91-L91)/L91</f>
        <v>-0.05276230798244808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customHeight="1">
      <c r="A93" s="19" t="s">
        <v>67</v>
      </c>
      <c r="B93" s="20">
        <f>DATE(2017,7,1)</f>
        <v>42917</v>
      </c>
      <c r="C93" s="21">
        <v>400905</v>
      </c>
      <c r="D93" s="21">
        <v>319321</v>
      </c>
      <c r="E93" s="23">
        <f aca="true" t="shared" si="35" ref="E93:E101">(+C93-D93)/D93</f>
        <v>0.2554921223471053</v>
      </c>
      <c r="F93" s="21">
        <f>+C93-189262</f>
        <v>211643</v>
      </c>
      <c r="G93" s="21">
        <f>+D93-152762</f>
        <v>166559</v>
      </c>
      <c r="H93" s="23">
        <f aca="true" t="shared" si="36" ref="H93:H101">(+F93-G93)/G93</f>
        <v>0.27067885854261853</v>
      </c>
      <c r="I93" s="24">
        <f aca="true" t="shared" si="37" ref="I93:I101">K93/C93</f>
        <v>31.25736536087103</v>
      </c>
      <c r="J93" s="24">
        <f aca="true" t="shared" si="38" ref="J93:J101">K93/F93</f>
        <v>59.20930085096129</v>
      </c>
      <c r="K93" s="21">
        <v>12531234.06</v>
      </c>
      <c r="L93" s="21">
        <v>11457006.41</v>
      </c>
      <c r="M93" s="25">
        <f aca="true" t="shared" si="39" ref="M93:M101">(+K93-L93)/L93</f>
        <v>0.09376163472007697</v>
      </c>
      <c r="N93" s="10"/>
      <c r="R93" s="2"/>
    </row>
    <row r="94" spans="1:18" ht="15.75" customHeight="1">
      <c r="A94" s="19"/>
      <c r="B94" s="20">
        <f>DATE(2017,8,1)</f>
        <v>42948</v>
      </c>
      <c r="C94" s="21">
        <v>332593</v>
      </c>
      <c r="D94" s="21">
        <v>298389</v>
      </c>
      <c r="E94" s="23">
        <f t="shared" si="35"/>
        <v>0.11462889047518508</v>
      </c>
      <c r="F94" s="21">
        <f>+C94-143450</f>
        <v>189143</v>
      </c>
      <c r="G94" s="21">
        <f>+D94-153359</f>
        <v>145030</v>
      </c>
      <c r="H94" s="23">
        <f t="shared" si="36"/>
        <v>0.3041646555884989</v>
      </c>
      <c r="I94" s="24">
        <f t="shared" si="37"/>
        <v>37.333749387389396</v>
      </c>
      <c r="J94" s="24">
        <f t="shared" si="38"/>
        <v>65.64844435162814</v>
      </c>
      <c r="K94" s="21">
        <v>12416943.71</v>
      </c>
      <c r="L94" s="21">
        <v>10752916.18</v>
      </c>
      <c r="M94" s="25">
        <f t="shared" si="39"/>
        <v>0.15475127882936787</v>
      </c>
      <c r="N94" s="10"/>
      <c r="R94" s="2"/>
    </row>
    <row r="95" spans="1:18" ht="15.75" customHeight="1">
      <c r="A95" s="19"/>
      <c r="B95" s="20">
        <f>DATE(2017,9,1)</f>
        <v>42979</v>
      </c>
      <c r="C95" s="21">
        <v>334430</v>
      </c>
      <c r="D95" s="21">
        <v>290533</v>
      </c>
      <c r="E95" s="23">
        <f t="shared" si="35"/>
        <v>0.1510912701827331</v>
      </c>
      <c r="F95" s="21">
        <f>+C95-144819</f>
        <v>189611</v>
      </c>
      <c r="G95" s="21">
        <f>+D95-140086</f>
        <v>150447</v>
      </c>
      <c r="H95" s="23">
        <f t="shared" si="36"/>
        <v>0.2603175869242989</v>
      </c>
      <c r="I95" s="24">
        <f t="shared" si="37"/>
        <v>35.36166635768322</v>
      </c>
      <c r="J95" s="24">
        <f t="shared" si="38"/>
        <v>62.369810190337056</v>
      </c>
      <c r="K95" s="21">
        <v>11826002.08</v>
      </c>
      <c r="L95" s="21">
        <v>10750631.65</v>
      </c>
      <c r="M95" s="25">
        <f t="shared" si="39"/>
        <v>0.10002858111132472</v>
      </c>
      <c r="N95" s="10"/>
      <c r="R95" s="2"/>
    </row>
    <row r="96" spans="1:18" ht="15.75" customHeight="1">
      <c r="A96" s="19"/>
      <c r="B96" s="20">
        <f>DATE(2017,10,1)</f>
        <v>43009</v>
      </c>
      <c r="C96" s="21">
        <v>316813</v>
      </c>
      <c r="D96" s="21">
        <v>282134</v>
      </c>
      <c r="E96" s="23">
        <f t="shared" si="35"/>
        <v>0.1229167700454394</v>
      </c>
      <c r="F96" s="21">
        <f>+C96-139997</f>
        <v>176816</v>
      </c>
      <c r="G96" s="21">
        <f>+D96-133884</f>
        <v>148250</v>
      </c>
      <c r="H96" s="23">
        <f t="shared" si="36"/>
        <v>0.19268802698145027</v>
      </c>
      <c r="I96" s="24">
        <f t="shared" si="37"/>
        <v>35.339736532276135</v>
      </c>
      <c r="J96" s="24">
        <f t="shared" si="38"/>
        <v>63.320558942629624</v>
      </c>
      <c r="K96" s="21">
        <v>11196087.95</v>
      </c>
      <c r="L96" s="21">
        <v>10577325.14</v>
      </c>
      <c r="M96" s="25">
        <f t="shared" si="39"/>
        <v>0.05849898739143785</v>
      </c>
      <c r="N96" s="10"/>
      <c r="R96" s="2"/>
    </row>
    <row r="97" spans="1:18" ht="15.75" customHeight="1">
      <c r="A97" s="19"/>
      <c r="B97" s="20">
        <f>DATE(2017,11,1)</f>
        <v>43040</v>
      </c>
      <c r="C97" s="21">
        <v>319590</v>
      </c>
      <c r="D97" s="21">
        <v>260391</v>
      </c>
      <c r="E97" s="23">
        <f t="shared" si="35"/>
        <v>0.22734656727767089</v>
      </c>
      <c r="F97" s="21">
        <f>+C97-141119</f>
        <v>178471</v>
      </c>
      <c r="G97" s="21">
        <f>+D97-121768</f>
        <v>138623</v>
      </c>
      <c r="H97" s="23">
        <f t="shared" si="36"/>
        <v>0.28745590558565315</v>
      </c>
      <c r="I97" s="24">
        <f t="shared" si="37"/>
        <v>37.63713529835101</v>
      </c>
      <c r="J97" s="24">
        <f t="shared" si="38"/>
        <v>67.39723579741246</v>
      </c>
      <c r="K97" s="21">
        <v>12028452.07</v>
      </c>
      <c r="L97" s="21">
        <v>10188193.43</v>
      </c>
      <c r="M97" s="25">
        <f t="shared" si="39"/>
        <v>0.1806265902432911</v>
      </c>
      <c r="N97" s="10"/>
      <c r="R97" s="2"/>
    </row>
    <row r="98" spans="1:18" ht="15.75" customHeight="1">
      <c r="A98" s="19"/>
      <c r="B98" s="20">
        <f>DATE(2017,12,1)</f>
        <v>43070</v>
      </c>
      <c r="C98" s="21">
        <v>365944</v>
      </c>
      <c r="D98" s="21">
        <v>286075</v>
      </c>
      <c r="E98" s="23">
        <f t="shared" si="35"/>
        <v>0.27918902385738004</v>
      </c>
      <c r="F98" s="21">
        <f>+C98-164571</f>
        <v>201373</v>
      </c>
      <c r="G98" s="21">
        <f>+D98-132124</f>
        <v>153951</v>
      </c>
      <c r="H98" s="23">
        <f t="shared" si="36"/>
        <v>0.30803307545907466</v>
      </c>
      <c r="I98" s="24">
        <f t="shared" si="37"/>
        <v>35.84297714950922</v>
      </c>
      <c r="J98" s="24">
        <f t="shared" si="38"/>
        <v>65.13545723607434</v>
      </c>
      <c r="K98" s="21">
        <v>13116522.43</v>
      </c>
      <c r="L98" s="21">
        <v>11400564.6</v>
      </c>
      <c r="M98" s="25">
        <f t="shared" si="39"/>
        <v>0.1505151622052122</v>
      </c>
      <c r="N98" s="10"/>
      <c r="R98" s="2"/>
    </row>
    <row r="99" spans="1:18" ht="15.75" customHeight="1">
      <c r="A99" s="19"/>
      <c r="B99" s="20">
        <f>DATE(2018,1,1)</f>
        <v>43101</v>
      </c>
      <c r="C99" s="21">
        <v>346011</v>
      </c>
      <c r="D99" s="21">
        <v>275836</v>
      </c>
      <c r="E99" s="23">
        <f t="shared" si="35"/>
        <v>0.2544084165953683</v>
      </c>
      <c r="F99" s="21">
        <f>+C99-152897</f>
        <v>193114</v>
      </c>
      <c r="G99" s="21">
        <f>+D99-127332</f>
        <v>148504</v>
      </c>
      <c r="H99" s="23">
        <f t="shared" si="36"/>
        <v>0.3003959489306685</v>
      </c>
      <c r="I99" s="24">
        <f t="shared" si="37"/>
        <v>35.42990251755002</v>
      </c>
      <c r="J99" s="24">
        <f t="shared" si="38"/>
        <v>63.48134262663505</v>
      </c>
      <c r="K99" s="21">
        <v>12259136</v>
      </c>
      <c r="L99" s="21">
        <v>10343421.21</v>
      </c>
      <c r="M99" s="25">
        <f t="shared" si="39"/>
        <v>0.18521094240538996</v>
      </c>
      <c r="N99" s="10"/>
      <c r="R99" s="2"/>
    </row>
    <row r="100" spans="1:18" ht="15.75" customHeight="1">
      <c r="A100" s="19"/>
      <c r="B100" s="20">
        <f>DATE(2018,2,1)</f>
        <v>43132</v>
      </c>
      <c r="C100" s="21">
        <v>374853</v>
      </c>
      <c r="D100" s="21">
        <v>311664</v>
      </c>
      <c r="E100" s="23">
        <f t="shared" si="35"/>
        <v>0.2027471892807639</v>
      </c>
      <c r="F100" s="21">
        <f>+C100-169663</f>
        <v>205190</v>
      </c>
      <c r="G100" s="21">
        <f>+D100-142608</f>
        <v>169056</v>
      </c>
      <c r="H100" s="23">
        <f t="shared" si="36"/>
        <v>0.2137398258565209</v>
      </c>
      <c r="I100" s="24">
        <f t="shared" si="37"/>
        <v>37.13583807519214</v>
      </c>
      <c r="J100" s="24">
        <f t="shared" si="38"/>
        <v>67.84190413762855</v>
      </c>
      <c r="K100" s="21">
        <v>13920480.31</v>
      </c>
      <c r="L100" s="21">
        <v>12217808.24</v>
      </c>
      <c r="M100" s="25">
        <f t="shared" si="39"/>
        <v>0.13935986197799421</v>
      </c>
      <c r="N100" s="10"/>
      <c r="R100" s="2"/>
    </row>
    <row r="101" spans="1:18" ht="15.75" customHeight="1">
      <c r="A101" s="19"/>
      <c r="B101" s="20">
        <f>DATE(2018,3,1)</f>
        <v>43160</v>
      </c>
      <c r="C101" s="21">
        <v>445970</v>
      </c>
      <c r="D101" s="21">
        <v>370866</v>
      </c>
      <c r="E101" s="23">
        <f t="shared" si="35"/>
        <v>0.2025098013837882</v>
      </c>
      <c r="F101" s="21">
        <f>+C101-199544</f>
        <v>246426</v>
      </c>
      <c r="G101" s="21">
        <f>+D101-168024</f>
        <v>202842</v>
      </c>
      <c r="H101" s="23">
        <f t="shared" si="36"/>
        <v>0.21486674357381608</v>
      </c>
      <c r="I101" s="24">
        <f t="shared" si="37"/>
        <v>36.92293703612351</v>
      </c>
      <c r="J101" s="24">
        <f t="shared" si="38"/>
        <v>66.82136718528078</v>
      </c>
      <c r="K101" s="21">
        <v>16466522.23</v>
      </c>
      <c r="L101" s="21">
        <v>13974084.75</v>
      </c>
      <c r="M101" s="25">
        <f t="shared" si="39"/>
        <v>0.17836141146918408</v>
      </c>
      <c r="N101" s="10"/>
      <c r="R101" s="2"/>
    </row>
    <row r="102" spans="1:18" ht="15.75" customHeight="1" thickBot="1">
      <c r="A102" s="19"/>
      <c r="B102" s="45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Bot="1" thickTop="1">
      <c r="A103" s="39" t="s">
        <v>14</v>
      </c>
      <c r="B103" s="40"/>
      <c r="C103" s="41">
        <f>SUM(C93:C102)</f>
        <v>3237109</v>
      </c>
      <c r="D103" s="41">
        <f>SUM(D93:D102)</f>
        <v>2695209</v>
      </c>
      <c r="E103" s="280">
        <f>(+C103-D103)/D103</f>
        <v>0.20106047434540328</v>
      </c>
      <c r="F103" s="41">
        <f>SUM(F93:F102)</f>
        <v>1791787</v>
      </c>
      <c r="G103" s="41">
        <f>SUM(G93:G102)</f>
        <v>1423262</v>
      </c>
      <c r="H103" s="42">
        <f>(+F103-G103)/G103</f>
        <v>0.25892983863828306</v>
      </c>
      <c r="I103" s="43">
        <f>K103/C103</f>
        <v>35.76072997233025</v>
      </c>
      <c r="J103" s="43">
        <f>K103/F103</f>
        <v>64.60666409567655</v>
      </c>
      <c r="K103" s="41">
        <f>SUM(K93:K102)</f>
        <v>115761380.84</v>
      </c>
      <c r="L103" s="41">
        <f>SUM(L93:L102)</f>
        <v>101661951.61</v>
      </c>
      <c r="M103" s="44">
        <f>(+K103-L103)/L103</f>
        <v>0.1386893425387784</v>
      </c>
      <c r="N103" s="10"/>
      <c r="R103" s="2"/>
    </row>
    <row r="104" spans="1:18" ht="15.75" customHeight="1" thickTop="1">
      <c r="A104" s="54"/>
      <c r="B104" s="55"/>
      <c r="C104" s="55"/>
      <c r="D104" s="55"/>
      <c r="E104" s="56"/>
      <c r="F104" s="55"/>
      <c r="G104" s="55"/>
      <c r="H104" s="56"/>
      <c r="I104" s="55"/>
      <c r="J104" s="55"/>
      <c r="K104" s="196"/>
      <c r="L104" s="196"/>
      <c r="M104" s="57"/>
      <c r="N104" s="10"/>
      <c r="R104" s="2"/>
    </row>
    <row r="105" spans="1:18" ht="15.75" customHeight="1">
      <c r="A105" s="19" t="s">
        <v>18</v>
      </c>
      <c r="B105" s="20">
        <f>DATE(2017,7,1)</f>
        <v>42917</v>
      </c>
      <c r="C105" s="21">
        <v>402324</v>
      </c>
      <c r="D105" s="21">
        <v>443593</v>
      </c>
      <c r="E105" s="23">
        <f aca="true" t="shared" si="40" ref="E105:E113">(+C105-D105)/D105</f>
        <v>-0.09303347888717811</v>
      </c>
      <c r="F105" s="21">
        <f>+C105-196212</f>
        <v>206112</v>
      </c>
      <c r="G105" s="21">
        <f>+D105-216102</f>
        <v>227491</v>
      </c>
      <c r="H105" s="23">
        <f aca="true" t="shared" si="41" ref="H105:H113">(+F105-G105)/G105</f>
        <v>-0.09397734415867001</v>
      </c>
      <c r="I105" s="24">
        <f aca="true" t="shared" si="42" ref="I105:I113">K105/C105</f>
        <v>40.6170578190712</v>
      </c>
      <c r="J105" s="24">
        <f aca="true" t="shared" si="43" ref="J105:J113">K105/F105</f>
        <v>79.28319151723335</v>
      </c>
      <c r="K105" s="21">
        <v>16341217.17</v>
      </c>
      <c r="L105" s="21">
        <v>16992668.91</v>
      </c>
      <c r="M105" s="25">
        <f aca="true" t="shared" si="44" ref="M105:M113">(+K105-L105)/L105</f>
        <v>-0.03833722315489994</v>
      </c>
      <c r="N105" s="10"/>
      <c r="R105" s="2"/>
    </row>
    <row r="106" spans="1:18" ht="15.75" customHeight="1">
      <c r="A106" s="19"/>
      <c r="B106" s="20">
        <f>DATE(2017,8,1)</f>
        <v>42948</v>
      </c>
      <c r="C106" s="21">
        <v>379939</v>
      </c>
      <c r="D106" s="21">
        <v>403931</v>
      </c>
      <c r="E106" s="23">
        <f t="shared" si="40"/>
        <v>-0.05939628302853705</v>
      </c>
      <c r="F106" s="21">
        <f>+C106-185707</f>
        <v>194232</v>
      </c>
      <c r="G106" s="21">
        <f>+D106-196405</f>
        <v>207526</v>
      </c>
      <c r="H106" s="23">
        <f t="shared" si="41"/>
        <v>-0.06405944315411082</v>
      </c>
      <c r="I106" s="24">
        <f t="shared" si="42"/>
        <v>40.309828814625504</v>
      </c>
      <c r="J106" s="24">
        <f t="shared" si="43"/>
        <v>78.85042655175255</v>
      </c>
      <c r="K106" s="21">
        <v>15315276.05</v>
      </c>
      <c r="L106" s="21">
        <v>15920732.62</v>
      </c>
      <c r="M106" s="25">
        <f t="shared" si="44"/>
        <v>-0.03802944151196972</v>
      </c>
      <c r="N106" s="10"/>
      <c r="R106" s="2"/>
    </row>
    <row r="107" spans="1:18" ht="15.75" customHeight="1">
      <c r="A107" s="19"/>
      <c r="B107" s="20">
        <f>DATE(2017,9,1)</f>
        <v>42979</v>
      </c>
      <c r="C107" s="21">
        <v>383853</v>
      </c>
      <c r="D107" s="21">
        <v>412152</v>
      </c>
      <c r="E107" s="23">
        <f t="shared" si="40"/>
        <v>-0.06866156175391604</v>
      </c>
      <c r="F107" s="21">
        <f>+C107-186182</f>
        <v>197671</v>
      </c>
      <c r="G107" s="21">
        <f>+D107-198762</f>
        <v>213390</v>
      </c>
      <c r="H107" s="23">
        <f t="shared" si="41"/>
        <v>-0.07366324570036084</v>
      </c>
      <c r="I107" s="24">
        <f t="shared" si="42"/>
        <v>41.76407293938044</v>
      </c>
      <c r="J107" s="24">
        <f t="shared" si="43"/>
        <v>81.10074158576624</v>
      </c>
      <c r="K107" s="21">
        <v>16031264.69</v>
      </c>
      <c r="L107" s="21">
        <v>15877918.01</v>
      </c>
      <c r="M107" s="25">
        <f t="shared" si="44"/>
        <v>0.00965785815894887</v>
      </c>
      <c r="N107" s="10"/>
      <c r="R107" s="2"/>
    </row>
    <row r="108" spans="1:18" ht="15.75" customHeight="1">
      <c r="A108" s="19"/>
      <c r="B108" s="20">
        <f>DATE(2017,10,1)</f>
        <v>43009</v>
      </c>
      <c r="C108" s="21">
        <v>372927</v>
      </c>
      <c r="D108" s="21">
        <v>416520</v>
      </c>
      <c r="E108" s="23">
        <f t="shared" si="40"/>
        <v>-0.10466004033419764</v>
      </c>
      <c r="F108" s="21">
        <f>+C108-185932</f>
        <v>186995</v>
      </c>
      <c r="G108" s="21">
        <f>+D108-200772</f>
        <v>215748</v>
      </c>
      <c r="H108" s="23">
        <f t="shared" si="41"/>
        <v>-0.13327122383521517</v>
      </c>
      <c r="I108" s="24">
        <f t="shared" si="42"/>
        <v>40.93245611071336</v>
      </c>
      <c r="J108" s="24">
        <f t="shared" si="43"/>
        <v>81.63222578143801</v>
      </c>
      <c r="K108" s="21">
        <v>15264818.06</v>
      </c>
      <c r="L108" s="21">
        <v>16320470.64</v>
      </c>
      <c r="M108" s="25">
        <f t="shared" si="44"/>
        <v>-0.06468272902698595</v>
      </c>
      <c r="N108" s="10"/>
      <c r="R108" s="2"/>
    </row>
    <row r="109" spans="1:18" ht="15.75" customHeight="1">
      <c r="A109" s="19"/>
      <c r="B109" s="20">
        <f>DATE(2017,11,1)</f>
        <v>43040</v>
      </c>
      <c r="C109" s="21">
        <v>350531</v>
      </c>
      <c r="D109" s="21">
        <v>406238</v>
      </c>
      <c r="E109" s="23">
        <f t="shared" si="40"/>
        <v>-0.1371289736558372</v>
      </c>
      <c r="F109" s="21">
        <f>+C109-173337</f>
        <v>177194</v>
      </c>
      <c r="G109" s="21">
        <f>+D109-201694</f>
        <v>204544</v>
      </c>
      <c r="H109" s="23">
        <f t="shared" si="41"/>
        <v>-0.13371206195244056</v>
      </c>
      <c r="I109" s="24">
        <f t="shared" si="42"/>
        <v>42.16910792483404</v>
      </c>
      <c r="J109" s="24">
        <f t="shared" si="43"/>
        <v>83.42031654570697</v>
      </c>
      <c r="K109" s="21">
        <v>14781579.57</v>
      </c>
      <c r="L109" s="21">
        <v>15913149.14</v>
      </c>
      <c r="M109" s="25">
        <f t="shared" si="44"/>
        <v>-0.07110909098159815</v>
      </c>
      <c r="N109" s="10"/>
      <c r="R109" s="2"/>
    </row>
    <row r="110" spans="1:18" ht="15.75" customHeight="1">
      <c r="A110" s="19"/>
      <c r="B110" s="20">
        <f>DATE(2017,12,1)</f>
        <v>43070</v>
      </c>
      <c r="C110" s="21">
        <v>390264</v>
      </c>
      <c r="D110" s="21">
        <v>414721</v>
      </c>
      <c r="E110" s="23">
        <f t="shared" si="40"/>
        <v>-0.058972176475268916</v>
      </c>
      <c r="F110" s="21">
        <f>+C110-192232</f>
        <v>198032</v>
      </c>
      <c r="G110" s="21">
        <f>+D110-204940</f>
        <v>209781</v>
      </c>
      <c r="H110" s="23">
        <f t="shared" si="41"/>
        <v>-0.0560060253311787</v>
      </c>
      <c r="I110" s="24">
        <f t="shared" si="42"/>
        <v>42.14231497140397</v>
      </c>
      <c r="J110" s="24">
        <f t="shared" si="43"/>
        <v>83.05035756847379</v>
      </c>
      <c r="K110" s="21">
        <v>16446628.41</v>
      </c>
      <c r="L110" s="21">
        <v>16539049.81</v>
      </c>
      <c r="M110" s="25">
        <f t="shared" si="44"/>
        <v>-0.005588071930475695</v>
      </c>
      <c r="N110" s="10"/>
      <c r="R110" s="2"/>
    </row>
    <row r="111" spans="1:18" ht="15.75" customHeight="1">
      <c r="A111" s="19"/>
      <c r="B111" s="20">
        <f>DATE(2018,1,1)</f>
        <v>43101</v>
      </c>
      <c r="C111" s="21">
        <v>367155</v>
      </c>
      <c r="D111" s="21">
        <v>381508</v>
      </c>
      <c r="E111" s="23">
        <f t="shared" si="40"/>
        <v>-0.037621753672269</v>
      </c>
      <c r="F111" s="21">
        <f>+C111-193850</f>
        <v>173305</v>
      </c>
      <c r="G111" s="21">
        <f>+D111-188183</f>
        <v>193325</v>
      </c>
      <c r="H111" s="23">
        <f t="shared" si="41"/>
        <v>-0.10355618776671409</v>
      </c>
      <c r="I111" s="24">
        <f t="shared" si="42"/>
        <v>41.00897977693345</v>
      </c>
      <c r="J111" s="24">
        <f t="shared" si="43"/>
        <v>86.87950128386372</v>
      </c>
      <c r="K111" s="21">
        <v>15056651.97</v>
      </c>
      <c r="L111" s="21">
        <v>15120347.78</v>
      </c>
      <c r="M111" s="25">
        <f t="shared" si="44"/>
        <v>-0.0042125889514426675</v>
      </c>
      <c r="N111" s="10"/>
      <c r="R111" s="2"/>
    </row>
    <row r="112" spans="1:18" ht="15.75" customHeight="1">
      <c r="A112" s="19"/>
      <c r="B112" s="20">
        <f>DATE(2018,2,1)</f>
        <v>43132</v>
      </c>
      <c r="C112" s="21">
        <v>348132</v>
      </c>
      <c r="D112" s="21">
        <v>408428</v>
      </c>
      <c r="E112" s="23">
        <f t="shared" si="40"/>
        <v>-0.14762944754032534</v>
      </c>
      <c r="F112" s="21">
        <f>+C112-170486</f>
        <v>177646</v>
      </c>
      <c r="G112" s="21">
        <f>+D112-202328</f>
        <v>206100</v>
      </c>
      <c r="H112" s="23">
        <f t="shared" si="41"/>
        <v>-0.13805919456574478</v>
      </c>
      <c r="I112" s="24">
        <f t="shared" si="42"/>
        <v>43.901873599669095</v>
      </c>
      <c r="J112" s="24">
        <f t="shared" si="43"/>
        <v>86.03428762820441</v>
      </c>
      <c r="K112" s="21">
        <v>15283647.06</v>
      </c>
      <c r="L112" s="21">
        <v>16517544.51</v>
      </c>
      <c r="M112" s="25">
        <f t="shared" si="44"/>
        <v>-0.07470223248092214</v>
      </c>
      <c r="N112" s="10"/>
      <c r="R112" s="2"/>
    </row>
    <row r="113" spans="1:18" ht="15.75" customHeight="1">
      <c r="A113" s="19"/>
      <c r="B113" s="20">
        <f>DATE(2018,3,1)</f>
        <v>43160</v>
      </c>
      <c r="C113" s="21">
        <v>425327</v>
      </c>
      <c r="D113" s="21">
        <v>438400</v>
      </c>
      <c r="E113" s="23">
        <f t="shared" si="40"/>
        <v>-0.029819799270072993</v>
      </c>
      <c r="F113" s="21">
        <f>+C113-208257</f>
        <v>217070</v>
      </c>
      <c r="G113" s="21">
        <f>+D113-216803</f>
        <v>221597</v>
      </c>
      <c r="H113" s="23">
        <f t="shared" si="41"/>
        <v>-0.02042897692658294</v>
      </c>
      <c r="I113" s="24">
        <f t="shared" si="42"/>
        <v>42.77366108899741</v>
      </c>
      <c r="J113" s="24">
        <f t="shared" si="43"/>
        <v>83.81071981388492</v>
      </c>
      <c r="K113" s="21">
        <v>18192792.95</v>
      </c>
      <c r="L113" s="21">
        <v>18361714.65</v>
      </c>
      <c r="M113" s="25">
        <f t="shared" si="44"/>
        <v>-0.009199669160526861</v>
      </c>
      <c r="N113" s="10"/>
      <c r="R113" s="2"/>
    </row>
    <row r="114" spans="1:18" ht="15.75" customHeight="1" thickBot="1">
      <c r="A114" s="19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Bot="1" thickTop="1">
      <c r="A115" s="39" t="s">
        <v>14</v>
      </c>
      <c r="B115" s="40"/>
      <c r="C115" s="41">
        <f>SUM(C105:C114)</f>
        <v>3420452</v>
      </c>
      <c r="D115" s="41">
        <f>SUM(D105:D114)</f>
        <v>3725491</v>
      </c>
      <c r="E115" s="280">
        <f>(+C115-D115)/D115</f>
        <v>-0.08187887180508556</v>
      </c>
      <c r="F115" s="41">
        <f>SUM(F105:F114)</f>
        <v>1728257</v>
      </c>
      <c r="G115" s="41">
        <f>SUM(G105:G114)</f>
        <v>1899502</v>
      </c>
      <c r="H115" s="42">
        <f>(+F115-G115)/G115</f>
        <v>-0.0901525768332963</v>
      </c>
      <c r="I115" s="43">
        <f>K115/C115</f>
        <v>41.72368912938991</v>
      </c>
      <c r="J115" s="43">
        <f>K115/F115</f>
        <v>82.57676718798187</v>
      </c>
      <c r="K115" s="41">
        <f>SUM(K105:K114)</f>
        <v>142713875.92999998</v>
      </c>
      <c r="L115" s="41">
        <f>SUM(L105:L114)</f>
        <v>147563596.07</v>
      </c>
      <c r="M115" s="44">
        <f>(+K115-L115)/L115</f>
        <v>-0.03286528838521559</v>
      </c>
      <c r="N115" s="10"/>
      <c r="R115" s="2"/>
    </row>
    <row r="116" spans="1:18" ht="15.75" customHeight="1" thickTop="1">
      <c r="A116" s="54"/>
      <c r="B116" s="55"/>
      <c r="C116" s="55"/>
      <c r="D116" s="55"/>
      <c r="E116" s="56"/>
      <c r="F116" s="55"/>
      <c r="G116" s="55"/>
      <c r="H116" s="56"/>
      <c r="I116" s="55"/>
      <c r="J116" s="55"/>
      <c r="K116" s="196"/>
      <c r="L116" s="196"/>
      <c r="M116" s="57"/>
      <c r="N116" s="10"/>
      <c r="R116" s="2"/>
    </row>
    <row r="117" spans="1:18" ht="15.75" customHeight="1">
      <c r="A117" s="19" t="s">
        <v>58</v>
      </c>
      <c r="B117" s="20">
        <f>DATE(2017,7,1)</f>
        <v>42917</v>
      </c>
      <c r="C117" s="21">
        <v>487621</v>
      </c>
      <c r="D117" s="21">
        <v>530171</v>
      </c>
      <c r="E117" s="23">
        <f aca="true" t="shared" si="45" ref="E117:E125">(+C117-D117)/D117</f>
        <v>-0.08025712458810459</v>
      </c>
      <c r="F117" s="21">
        <f>+C117-237847</f>
        <v>249774</v>
      </c>
      <c r="G117" s="21">
        <f>+D117-255599</f>
        <v>274572</v>
      </c>
      <c r="H117" s="23">
        <f aca="true" t="shared" si="46" ref="H117:H125">(+F117-G117)/G117</f>
        <v>-0.09031510860539312</v>
      </c>
      <c r="I117" s="24">
        <f aca="true" t="shared" si="47" ref="I117:I125">K117/C117</f>
        <v>40.61489082709728</v>
      </c>
      <c r="J117" s="24">
        <f aca="true" t="shared" si="48" ref="J117:J125">K117/F117</f>
        <v>79.29037321738852</v>
      </c>
      <c r="K117" s="21">
        <v>19804673.68</v>
      </c>
      <c r="L117" s="21">
        <v>20026177.73</v>
      </c>
      <c r="M117" s="25">
        <f aca="true" t="shared" si="49" ref="M117:M125">(+K117-L117)/L117</f>
        <v>-0.011060725266019136</v>
      </c>
      <c r="N117" s="10"/>
      <c r="R117" s="2"/>
    </row>
    <row r="118" spans="1:18" ht="15.75" customHeight="1">
      <c r="A118" s="19"/>
      <c r="B118" s="20">
        <f>DATE(2017,8,1)</f>
        <v>42948</v>
      </c>
      <c r="C118" s="21">
        <v>450515</v>
      </c>
      <c r="D118" s="21">
        <v>452258</v>
      </c>
      <c r="E118" s="23">
        <f t="shared" si="45"/>
        <v>-0.00385399484365119</v>
      </c>
      <c r="F118" s="21">
        <f>+C118-212107</f>
        <v>238408</v>
      </c>
      <c r="G118" s="21">
        <f>+D118-201862</f>
        <v>250396</v>
      </c>
      <c r="H118" s="23">
        <f t="shared" si="46"/>
        <v>-0.04787616415597693</v>
      </c>
      <c r="I118" s="24">
        <f t="shared" si="47"/>
        <v>41.2676607216186</v>
      </c>
      <c r="J118" s="24">
        <f t="shared" si="48"/>
        <v>77.9827026358176</v>
      </c>
      <c r="K118" s="21">
        <v>18591700.17</v>
      </c>
      <c r="L118" s="21">
        <v>17792626.65</v>
      </c>
      <c r="M118" s="25">
        <f t="shared" si="49"/>
        <v>0.044910374152093126</v>
      </c>
      <c r="N118" s="10"/>
      <c r="R118" s="2"/>
    </row>
    <row r="119" spans="1:18" ht="15.75" customHeight="1">
      <c r="A119" s="19"/>
      <c r="B119" s="20">
        <f>DATE(2017,9,1)</f>
        <v>42979</v>
      </c>
      <c r="C119" s="21">
        <v>460886</v>
      </c>
      <c r="D119" s="21">
        <v>443833</v>
      </c>
      <c r="E119" s="23">
        <f t="shared" si="45"/>
        <v>0.03842210921675495</v>
      </c>
      <c r="F119" s="21">
        <f>+C119-224636</f>
        <v>236250</v>
      </c>
      <c r="G119" s="21">
        <f>+D119-215331</f>
        <v>228502</v>
      </c>
      <c r="H119" s="23">
        <f t="shared" si="46"/>
        <v>0.03390779949409633</v>
      </c>
      <c r="I119" s="24">
        <f t="shared" si="47"/>
        <v>40.61222109154975</v>
      </c>
      <c r="J119" s="24">
        <f t="shared" si="48"/>
        <v>79.22795398941798</v>
      </c>
      <c r="K119" s="21">
        <v>18717604.13</v>
      </c>
      <c r="L119" s="21">
        <v>17971661.23</v>
      </c>
      <c r="M119" s="25">
        <f t="shared" si="49"/>
        <v>0.04150661925202551</v>
      </c>
      <c r="N119" s="10"/>
      <c r="R119" s="2"/>
    </row>
    <row r="120" spans="1:18" ht="15.75" customHeight="1">
      <c r="A120" s="19"/>
      <c r="B120" s="20">
        <f>DATE(2017,10,1)</f>
        <v>43009</v>
      </c>
      <c r="C120" s="21">
        <v>417011</v>
      </c>
      <c r="D120" s="21">
        <v>470107</v>
      </c>
      <c r="E120" s="23">
        <f t="shared" si="45"/>
        <v>-0.11294449986917872</v>
      </c>
      <c r="F120" s="21">
        <f>+C120-199528</f>
        <v>217483</v>
      </c>
      <c r="G120" s="21">
        <f>+D120-226355</f>
        <v>243752</v>
      </c>
      <c r="H120" s="23">
        <f t="shared" si="46"/>
        <v>-0.10776937214874134</v>
      </c>
      <c r="I120" s="24">
        <f t="shared" si="47"/>
        <v>42.63090477229618</v>
      </c>
      <c r="J120" s="24">
        <f t="shared" si="48"/>
        <v>81.74227976439538</v>
      </c>
      <c r="K120" s="21">
        <v>17777556.23</v>
      </c>
      <c r="L120" s="21">
        <v>19212522.4</v>
      </c>
      <c r="M120" s="25">
        <f t="shared" si="49"/>
        <v>-0.07468910849519676</v>
      </c>
      <c r="N120" s="10"/>
      <c r="R120" s="2"/>
    </row>
    <row r="121" spans="1:18" ht="15.75" customHeight="1">
      <c r="A121" s="19"/>
      <c r="B121" s="20">
        <f>DATE(2017,11,1)</f>
        <v>43040</v>
      </c>
      <c r="C121" s="21">
        <v>418369</v>
      </c>
      <c r="D121" s="21">
        <v>443959</v>
      </c>
      <c r="E121" s="23">
        <f t="shared" si="45"/>
        <v>-0.05764045779002115</v>
      </c>
      <c r="F121" s="21">
        <f>+C121-203162</f>
        <v>215207</v>
      </c>
      <c r="G121" s="21">
        <f>+D121-215969</f>
        <v>227990</v>
      </c>
      <c r="H121" s="23">
        <f t="shared" si="46"/>
        <v>-0.05606824860739506</v>
      </c>
      <c r="I121" s="24">
        <f t="shared" si="47"/>
        <v>42.15014374870031</v>
      </c>
      <c r="J121" s="24">
        <f t="shared" si="48"/>
        <v>81.94117054742642</v>
      </c>
      <c r="K121" s="21">
        <v>17634313.49</v>
      </c>
      <c r="L121" s="21">
        <v>17124542.9</v>
      </c>
      <c r="M121" s="25">
        <f t="shared" si="49"/>
        <v>0.029768420271235378</v>
      </c>
      <c r="N121" s="10"/>
      <c r="R121" s="2"/>
    </row>
    <row r="122" spans="1:18" ht="15.75" customHeight="1">
      <c r="A122" s="19"/>
      <c r="B122" s="20">
        <f>DATE(2017,12,1)</f>
        <v>43070</v>
      </c>
      <c r="C122" s="21">
        <v>464152</v>
      </c>
      <c r="D122" s="21">
        <v>475777</v>
      </c>
      <c r="E122" s="23">
        <f t="shared" si="45"/>
        <v>-0.02443371579542517</v>
      </c>
      <c r="F122" s="21">
        <f>+C122-225433</f>
        <v>238719</v>
      </c>
      <c r="G122" s="21">
        <f>+D122-231864</f>
        <v>243913</v>
      </c>
      <c r="H122" s="23">
        <f t="shared" si="46"/>
        <v>-0.021294477949104804</v>
      </c>
      <c r="I122" s="24">
        <f t="shared" si="47"/>
        <v>41.4970518278495</v>
      </c>
      <c r="J122" s="24">
        <f t="shared" si="48"/>
        <v>80.68456888643134</v>
      </c>
      <c r="K122" s="21">
        <v>19260939.6</v>
      </c>
      <c r="L122" s="21">
        <v>18798395.36</v>
      </c>
      <c r="M122" s="25">
        <f t="shared" si="49"/>
        <v>0.024605517180696326</v>
      </c>
      <c r="N122" s="10"/>
      <c r="R122" s="2"/>
    </row>
    <row r="123" spans="1:18" ht="15.75" customHeight="1">
      <c r="A123" s="19"/>
      <c r="B123" s="20">
        <f>DATE(2018,1,1)</f>
        <v>43101</v>
      </c>
      <c r="C123" s="21">
        <v>394157</v>
      </c>
      <c r="D123" s="21">
        <v>453466</v>
      </c>
      <c r="E123" s="23">
        <f t="shared" si="45"/>
        <v>-0.13079040104440023</v>
      </c>
      <c r="F123" s="21">
        <f>+C123-197341</f>
        <v>196816</v>
      </c>
      <c r="G123" s="21">
        <f>+D123-221705</f>
        <v>231761</v>
      </c>
      <c r="H123" s="23">
        <f t="shared" si="46"/>
        <v>-0.1507803297362369</v>
      </c>
      <c r="I123" s="24">
        <f t="shared" si="47"/>
        <v>41.986895221954704</v>
      </c>
      <c r="J123" s="24">
        <f t="shared" si="48"/>
        <v>84.08578906186489</v>
      </c>
      <c r="K123" s="21">
        <v>16549428.66</v>
      </c>
      <c r="L123" s="21">
        <v>18005996.58</v>
      </c>
      <c r="M123" s="25">
        <f t="shared" si="49"/>
        <v>-0.08089349087280556</v>
      </c>
      <c r="N123" s="10"/>
      <c r="R123" s="2"/>
    </row>
    <row r="124" spans="1:18" ht="15.75" customHeight="1">
      <c r="A124" s="19"/>
      <c r="B124" s="20">
        <f>DATE(2018,2,1)</f>
        <v>43132</v>
      </c>
      <c r="C124" s="21">
        <v>427928</v>
      </c>
      <c r="D124" s="21">
        <v>474628</v>
      </c>
      <c r="E124" s="23">
        <f t="shared" si="45"/>
        <v>-0.09839284660829112</v>
      </c>
      <c r="F124" s="21">
        <f>+C124-211910</f>
        <v>216018</v>
      </c>
      <c r="G124" s="21">
        <f>+D124-228660</f>
        <v>245968</v>
      </c>
      <c r="H124" s="23">
        <f t="shared" si="46"/>
        <v>-0.1217638066740389</v>
      </c>
      <c r="I124" s="24">
        <f t="shared" si="47"/>
        <v>41.937372361705705</v>
      </c>
      <c r="J124" s="24">
        <f t="shared" si="48"/>
        <v>83.07722449055171</v>
      </c>
      <c r="K124" s="21">
        <v>17946175.88</v>
      </c>
      <c r="L124" s="21">
        <v>18749403.41</v>
      </c>
      <c r="M124" s="25">
        <f t="shared" si="49"/>
        <v>-0.04284016469407232</v>
      </c>
      <c r="N124" s="10"/>
      <c r="R124" s="2"/>
    </row>
    <row r="125" spans="1:18" ht="15.75" customHeight="1">
      <c r="A125" s="19"/>
      <c r="B125" s="20">
        <f>DATE(2018,3,1)</f>
        <v>43160</v>
      </c>
      <c r="C125" s="21">
        <v>524386</v>
      </c>
      <c r="D125" s="21">
        <v>535385</v>
      </c>
      <c r="E125" s="23">
        <f t="shared" si="45"/>
        <v>-0.020544094436713768</v>
      </c>
      <c r="F125" s="21">
        <f>+C125-260974</f>
        <v>263412</v>
      </c>
      <c r="G125" s="21">
        <f>+D125-265190</f>
        <v>270195</v>
      </c>
      <c r="H125" s="23">
        <f t="shared" si="46"/>
        <v>-0.02510409148947982</v>
      </c>
      <c r="I125" s="24">
        <f t="shared" si="47"/>
        <v>42.14211483525495</v>
      </c>
      <c r="J125" s="24">
        <f t="shared" si="48"/>
        <v>83.89418488907111</v>
      </c>
      <c r="K125" s="21">
        <v>22098735.03</v>
      </c>
      <c r="L125" s="21">
        <v>20959128.78</v>
      </c>
      <c r="M125" s="25">
        <f t="shared" si="49"/>
        <v>0.054372787245214875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Bot="1" thickTop="1">
      <c r="A127" s="39" t="s">
        <v>14</v>
      </c>
      <c r="B127" s="40"/>
      <c r="C127" s="41">
        <f>SUM(C117:C126)</f>
        <v>4045025</v>
      </c>
      <c r="D127" s="41">
        <f>SUM(D117:D126)</f>
        <v>4279584</v>
      </c>
      <c r="E127" s="280">
        <f>(+C127-D127)/D127</f>
        <v>-0.05480883188646373</v>
      </c>
      <c r="F127" s="41">
        <f>SUM(F117:F126)</f>
        <v>2072087</v>
      </c>
      <c r="G127" s="41">
        <f>SUM(G117:G126)</f>
        <v>2217049</v>
      </c>
      <c r="H127" s="42">
        <f>(+F127-G127)/G127</f>
        <v>-0.06538511327444725</v>
      </c>
      <c r="I127" s="43">
        <f>K127/C127</f>
        <v>41.62672093992003</v>
      </c>
      <c r="J127" s="43">
        <f>K127/F127</f>
        <v>81.26161057426643</v>
      </c>
      <c r="K127" s="41">
        <f>SUM(K117:K126)</f>
        <v>168381126.87</v>
      </c>
      <c r="L127" s="41">
        <f>SUM(L117:L126)</f>
        <v>168640455.04</v>
      </c>
      <c r="M127" s="44">
        <f>(+K127-L127)/L127</f>
        <v>-0.0015377577695605516</v>
      </c>
      <c r="N127" s="10"/>
      <c r="R127" s="2"/>
    </row>
    <row r="128" spans="1:18" ht="15.75" customHeight="1" thickTop="1">
      <c r="A128" s="58"/>
      <c r="B128" s="59"/>
      <c r="C128" s="59"/>
      <c r="D128" s="59"/>
      <c r="E128" s="60"/>
      <c r="F128" s="59"/>
      <c r="G128" s="59"/>
      <c r="H128" s="60"/>
      <c r="I128" s="59"/>
      <c r="J128" s="59"/>
      <c r="K128" s="197"/>
      <c r="L128" s="197"/>
      <c r="M128" s="61"/>
      <c r="N128" s="10"/>
      <c r="R128" s="2"/>
    </row>
    <row r="129" spans="1:18" ht="15" customHeight="1">
      <c r="A129" s="19" t="s">
        <v>59</v>
      </c>
      <c r="B129" s="20">
        <f>DATE(2017,7,1)</f>
        <v>42917</v>
      </c>
      <c r="C129" s="21">
        <v>62927</v>
      </c>
      <c r="D129" s="21">
        <v>73310</v>
      </c>
      <c r="E129" s="23">
        <f aca="true" t="shared" si="50" ref="E129:E137">(+C129-D129)/D129</f>
        <v>-0.14163142818169416</v>
      </c>
      <c r="F129" s="21">
        <f>+C129-30201</f>
        <v>32726</v>
      </c>
      <c r="G129" s="21">
        <f>+D129-35214</f>
        <v>38096</v>
      </c>
      <c r="H129" s="23">
        <f aca="true" t="shared" si="51" ref="H129:H137">(+F129-G129)/G129</f>
        <v>-0.14095968080638388</v>
      </c>
      <c r="I129" s="24">
        <f aca="true" t="shared" si="52" ref="I129:I137">K129/C129</f>
        <v>46.5557015271664</v>
      </c>
      <c r="J129" s="24">
        <f aca="true" t="shared" si="53" ref="J129:J137">K129/F129</f>
        <v>89.51936166962048</v>
      </c>
      <c r="K129" s="21">
        <v>2929610.63</v>
      </c>
      <c r="L129" s="21">
        <v>3001887.38</v>
      </c>
      <c r="M129" s="25">
        <f aca="true" t="shared" si="54" ref="M129:M137">(+K129-L129)/L129</f>
        <v>-0.024077102452790884</v>
      </c>
      <c r="N129" s="10"/>
      <c r="R129" s="2"/>
    </row>
    <row r="130" spans="1:18" ht="15" customHeight="1">
      <c r="A130" s="19"/>
      <c r="B130" s="20">
        <f>DATE(2017,8,1)</f>
        <v>42948</v>
      </c>
      <c r="C130" s="21">
        <v>58528</v>
      </c>
      <c r="D130" s="21">
        <v>68681</v>
      </c>
      <c r="E130" s="23">
        <f t="shared" si="50"/>
        <v>-0.1478283659236179</v>
      </c>
      <c r="F130" s="21">
        <f>+C130-27538</f>
        <v>30990</v>
      </c>
      <c r="G130" s="21">
        <f>+D130-33144</f>
        <v>35537</v>
      </c>
      <c r="H130" s="23">
        <f t="shared" si="51"/>
        <v>-0.12795114950614853</v>
      </c>
      <c r="I130" s="24">
        <f t="shared" si="52"/>
        <v>45.66702706396938</v>
      </c>
      <c r="J130" s="24">
        <f t="shared" si="53"/>
        <v>86.24716876411745</v>
      </c>
      <c r="K130" s="21">
        <v>2672799.76</v>
      </c>
      <c r="L130" s="21">
        <v>2805830.16</v>
      </c>
      <c r="M130" s="25">
        <f t="shared" si="54"/>
        <v>-0.04741213559412319</v>
      </c>
      <c r="N130" s="10"/>
      <c r="R130" s="2"/>
    </row>
    <row r="131" spans="1:18" ht="15" customHeight="1">
      <c r="A131" s="19"/>
      <c r="B131" s="20">
        <f>DATE(2017,9,1)</f>
        <v>42979</v>
      </c>
      <c r="C131" s="21">
        <v>59418</v>
      </c>
      <c r="D131" s="21">
        <v>66932</v>
      </c>
      <c r="E131" s="23">
        <f t="shared" si="50"/>
        <v>-0.11226319249387438</v>
      </c>
      <c r="F131" s="21">
        <f>+C131-28421</f>
        <v>30997</v>
      </c>
      <c r="G131" s="21">
        <f>+D131-32466</f>
        <v>34466</v>
      </c>
      <c r="H131" s="23">
        <f t="shared" si="51"/>
        <v>-0.10064991585910753</v>
      </c>
      <c r="I131" s="24">
        <f t="shared" si="52"/>
        <v>46.52493638291427</v>
      </c>
      <c r="J131" s="24">
        <f t="shared" si="53"/>
        <v>89.18342646062521</v>
      </c>
      <c r="K131" s="21">
        <v>2764418.67</v>
      </c>
      <c r="L131" s="21">
        <v>2776425.81</v>
      </c>
      <c r="M131" s="25">
        <f t="shared" si="54"/>
        <v>-0.0043246752557743046</v>
      </c>
      <c r="N131" s="10"/>
      <c r="R131" s="2"/>
    </row>
    <row r="132" spans="1:18" ht="15" customHeight="1">
      <c r="A132" s="19"/>
      <c r="B132" s="20">
        <f>DATE(2017,10,1)</f>
        <v>43009</v>
      </c>
      <c r="C132" s="21">
        <v>52864</v>
      </c>
      <c r="D132" s="21">
        <v>66855</v>
      </c>
      <c r="E132" s="23">
        <f t="shared" si="50"/>
        <v>-0.2092738015107322</v>
      </c>
      <c r="F132" s="21">
        <f>+C132-24998</f>
        <v>27866</v>
      </c>
      <c r="G132" s="21">
        <f>+D132-32784</f>
        <v>34071</v>
      </c>
      <c r="H132" s="23">
        <f t="shared" si="51"/>
        <v>-0.18211969123301341</v>
      </c>
      <c r="I132" s="24">
        <f t="shared" si="52"/>
        <v>48.50260025726392</v>
      </c>
      <c r="J132" s="24">
        <f t="shared" si="53"/>
        <v>92.01325845115912</v>
      </c>
      <c r="K132" s="21">
        <v>2564041.46</v>
      </c>
      <c r="L132" s="21">
        <v>2823578.15</v>
      </c>
      <c r="M132" s="25">
        <f t="shared" si="54"/>
        <v>-0.09191765774218078</v>
      </c>
      <c r="N132" s="10"/>
      <c r="R132" s="2"/>
    </row>
    <row r="133" spans="1:18" ht="15" customHeight="1">
      <c r="A133" s="19"/>
      <c r="B133" s="20">
        <f>DATE(2017,11,1)</f>
        <v>43040</v>
      </c>
      <c r="C133" s="21">
        <v>54003</v>
      </c>
      <c r="D133" s="21">
        <v>61969</v>
      </c>
      <c r="E133" s="23">
        <f t="shared" si="50"/>
        <v>-0.12854814504026207</v>
      </c>
      <c r="F133" s="21">
        <f>+C133-25453</f>
        <v>28550</v>
      </c>
      <c r="G133" s="21">
        <f>+D133-31011</f>
        <v>30958</v>
      </c>
      <c r="H133" s="23">
        <f t="shared" si="51"/>
        <v>-0.07778280250662188</v>
      </c>
      <c r="I133" s="24">
        <f t="shared" si="52"/>
        <v>46.12329852045257</v>
      </c>
      <c r="J133" s="24">
        <f t="shared" si="53"/>
        <v>87.24330963222418</v>
      </c>
      <c r="K133" s="21">
        <v>2490796.49</v>
      </c>
      <c r="L133" s="21">
        <v>2631435.77</v>
      </c>
      <c r="M133" s="25">
        <f t="shared" si="54"/>
        <v>-0.05344583424888223</v>
      </c>
      <c r="N133" s="10"/>
      <c r="R133" s="2"/>
    </row>
    <row r="134" spans="1:18" ht="15" customHeight="1">
      <c r="A134" s="19"/>
      <c r="B134" s="20">
        <f>DATE(2017,12,1)</f>
        <v>43070</v>
      </c>
      <c r="C134" s="21">
        <v>55987</v>
      </c>
      <c r="D134" s="21">
        <v>62520</v>
      </c>
      <c r="E134" s="23">
        <f t="shared" si="50"/>
        <v>-0.10449456174024312</v>
      </c>
      <c r="F134" s="21">
        <f>+C134-26854</f>
        <v>29133</v>
      </c>
      <c r="G134" s="21">
        <f>+D134-31131</f>
        <v>31389</v>
      </c>
      <c r="H134" s="23">
        <f t="shared" si="51"/>
        <v>-0.07187231195641786</v>
      </c>
      <c r="I134" s="24">
        <f t="shared" si="52"/>
        <v>47.4045569507207</v>
      </c>
      <c r="J134" s="24">
        <f t="shared" si="53"/>
        <v>91.10077678234305</v>
      </c>
      <c r="K134" s="21">
        <v>2654038.93</v>
      </c>
      <c r="L134" s="21">
        <v>2786931.09</v>
      </c>
      <c r="M134" s="25">
        <f t="shared" si="54"/>
        <v>-0.04768404948254379</v>
      </c>
      <c r="N134" s="10"/>
      <c r="R134" s="2"/>
    </row>
    <row r="135" spans="1:18" ht="15" customHeight="1">
      <c r="A135" s="19"/>
      <c r="B135" s="20">
        <f>DATE(2018,1,1)</f>
        <v>43101</v>
      </c>
      <c r="C135" s="21">
        <v>52482</v>
      </c>
      <c r="D135" s="21">
        <v>64608</v>
      </c>
      <c r="E135" s="23">
        <f t="shared" si="50"/>
        <v>-0.18768573551263001</v>
      </c>
      <c r="F135" s="21">
        <f>+C135-25959</f>
        <v>26523</v>
      </c>
      <c r="G135" s="21">
        <f>+D135-31755</f>
        <v>32853</v>
      </c>
      <c r="H135" s="23">
        <f t="shared" si="51"/>
        <v>-0.19267646790247467</v>
      </c>
      <c r="I135" s="24">
        <f t="shared" si="52"/>
        <v>48.66601844441904</v>
      </c>
      <c r="J135" s="24">
        <f t="shared" si="53"/>
        <v>96.29717528183086</v>
      </c>
      <c r="K135" s="21">
        <v>2554089.98</v>
      </c>
      <c r="L135" s="21">
        <v>2744182.31</v>
      </c>
      <c r="M135" s="25">
        <f t="shared" si="54"/>
        <v>-0.0692710281336957</v>
      </c>
      <c r="N135" s="10"/>
      <c r="R135" s="2"/>
    </row>
    <row r="136" spans="1:18" ht="15" customHeight="1">
      <c r="A136" s="19"/>
      <c r="B136" s="20">
        <f>DATE(2018,2,1)</f>
        <v>43132</v>
      </c>
      <c r="C136" s="21">
        <v>54321</v>
      </c>
      <c r="D136" s="21">
        <v>71597</v>
      </c>
      <c r="E136" s="23">
        <f t="shared" si="50"/>
        <v>-0.24129502632791877</v>
      </c>
      <c r="F136" s="21">
        <f>+C136-26653</f>
        <v>27668</v>
      </c>
      <c r="G136" s="21">
        <f>+D136-35305</f>
        <v>36292</v>
      </c>
      <c r="H136" s="23">
        <f t="shared" si="51"/>
        <v>-0.23762812741099967</v>
      </c>
      <c r="I136" s="24">
        <f t="shared" si="52"/>
        <v>48.37616483496254</v>
      </c>
      <c r="J136" s="24">
        <f t="shared" si="53"/>
        <v>94.97765107705652</v>
      </c>
      <c r="K136" s="21">
        <v>2627841.65</v>
      </c>
      <c r="L136" s="21">
        <v>2870098.11</v>
      </c>
      <c r="M136" s="25">
        <f t="shared" si="54"/>
        <v>-0.0844070309498932</v>
      </c>
      <c r="N136" s="10"/>
      <c r="R136" s="2"/>
    </row>
    <row r="137" spans="1:18" ht="15" customHeight="1">
      <c r="A137" s="19"/>
      <c r="B137" s="20">
        <f>DATE(2018,3,1)</f>
        <v>43160</v>
      </c>
      <c r="C137" s="21">
        <v>72081</v>
      </c>
      <c r="D137" s="21">
        <v>80322</v>
      </c>
      <c r="E137" s="23">
        <f t="shared" si="50"/>
        <v>-0.1025995368641219</v>
      </c>
      <c r="F137" s="21">
        <f>+C137-35399</f>
        <v>36682</v>
      </c>
      <c r="G137" s="21">
        <f>+D137-39470</f>
        <v>40852</v>
      </c>
      <c r="H137" s="23">
        <f t="shared" si="51"/>
        <v>-0.10207578576324293</v>
      </c>
      <c r="I137" s="24">
        <f t="shared" si="52"/>
        <v>50.13988346443584</v>
      </c>
      <c r="J137" s="24">
        <f t="shared" si="53"/>
        <v>98.5260601930102</v>
      </c>
      <c r="K137" s="21">
        <v>3614132.94</v>
      </c>
      <c r="L137" s="21">
        <v>3274329.22</v>
      </c>
      <c r="M137" s="25">
        <f t="shared" si="54"/>
        <v>0.10377811672828663</v>
      </c>
      <c r="N137" s="10"/>
      <c r="R137" s="2"/>
    </row>
    <row r="138" spans="1:18" ht="15.75" thickBot="1">
      <c r="A138" s="38"/>
      <c r="B138" s="20"/>
      <c r="C138" s="21"/>
      <c r="D138" s="21"/>
      <c r="E138" s="23"/>
      <c r="F138" s="21"/>
      <c r="G138" s="21"/>
      <c r="H138" s="23"/>
      <c r="I138" s="24"/>
      <c r="J138" s="24"/>
      <c r="K138" s="21"/>
      <c r="L138" s="21"/>
      <c r="M138" s="25"/>
      <c r="N138" s="10"/>
      <c r="R138" s="2"/>
    </row>
    <row r="139" spans="1:18" ht="17.25" thickBot="1" thickTop="1">
      <c r="A139" s="62" t="s">
        <v>14</v>
      </c>
      <c r="B139" s="52"/>
      <c r="C139" s="48">
        <f>SUM(C129:C138)</f>
        <v>522611</v>
      </c>
      <c r="D139" s="48">
        <f>SUM(D129:D138)</f>
        <v>616794</v>
      </c>
      <c r="E139" s="280">
        <f>(+C139-D139)/D139</f>
        <v>-0.15269765918604916</v>
      </c>
      <c r="F139" s="48">
        <f>SUM(F129:F138)</f>
        <v>271135</v>
      </c>
      <c r="G139" s="48">
        <f>SUM(G129:G138)</f>
        <v>314514</v>
      </c>
      <c r="H139" s="42">
        <f>(+F139-G139)/G139</f>
        <v>-0.13792390799773618</v>
      </c>
      <c r="I139" s="50">
        <f>K139/C139</f>
        <v>47.59136434173792</v>
      </c>
      <c r="J139" s="50">
        <f>K139/F139</f>
        <v>91.7320541796522</v>
      </c>
      <c r="K139" s="48">
        <f>SUM(K129:K138)</f>
        <v>24871770.509999998</v>
      </c>
      <c r="L139" s="48">
        <f>SUM(L129:L138)</f>
        <v>25714697.999999996</v>
      </c>
      <c r="M139" s="44">
        <f>(+K139-L139)/L139</f>
        <v>-0.03277998792752684</v>
      </c>
      <c r="N139" s="10"/>
      <c r="R139" s="2"/>
    </row>
    <row r="140" spans="1:18" ht="15.75" customHeight="1" thickTop="1">
      <c r="A140" s="19"/>
      <c r="B140" s="45"/>
      <c r="C140" s="21"/>
      <c r="D140" s="21"/>
      <c r="E140" s="23"/>
      <c r="F140" s="21"/>
      <c r="G140" s="21"/>
      <c r="H140" s="23"/>
      <c r="I140" s="24"/>
      <c r="J140" s="24"/>
      <c r="K140" s="21"/>
      <c r="L140" s="21"/>
      <c r="M140" s="25"/>
      <c r="N140" s="10"/>
      <c r="R140" s="2"/>
    </row>
    <row r="141" spans="1:18" ht="15.75">
      <c r="A141" s="19" t="s">
        <v>19</v>
      </c>
      <c r="B141" s="20">
        <f>DATE(2017,7,1)</f>
        <v>42917</v>
      </c>
      <c r="C141" s="21">
        <v>504566</v>
      </c>
      <c r="D141" s="21">
        <v>563540</v>
      </c>
      <c r="E141" s="23">
        <f aca="true" t="shared" si="55" ref="E141:E149">(+C141-D141)/D141</f>
        <v>-0.10464918195691521</v>
      </c>
      <c r="F141" s="21">
        <f>+C141-244721</f>
        <v>259845</v>
      </c>
      <c r="G141" s="21">
        <f>+D141-291099</f>
        <v>272441</v>
      </c>
      <c r="H141" s="23">
        <f aca="true" t="shared" si="56" ref="H141:H149">(+F141-G141)/G141</f>
        <v>-0.04623386347869814</v>
      </c>
      <c r="I141" s="24">
        <f aca="true" t="shared" si="57" ref="I141:I149">K141/C141</f>
        <v>47.04090033811236</v>
      </c>
      <c r="J141" s="24">
        <f aca="true" t="shared" si="58" ref="J141:J149">K141/F141</f>
        <v>91.34383544035869</v>
      </c>
      <c r="K141" s="21">
        <v>23735238.92</v>
      </c>
      <c r="L141" s="21">
        <v>23596498.81</v>
      </c>
      <c r="M141" s="25">
        <f aca="true" t="shared" si="59" ref="M141:M149">(+K141-L141)/L141</f>
        <v>0.005879690504813631</v>
      </c>
      <c r="N141" s="10"/>
      <c r="R141" s="2"/>
    </row>
    <row r="142" spans="1:18" ht="15.75">
      <c r="A142" s="19"/>
      <c r="B142" s="20">
        <f>DATE(2017,8,1)</f>
        <v>42948</v>
      </c>
      <c r="C142" s="21">
        <v>457218</v>
      </c>
      <c r="D142" s="21">
        <v>486709</v>
      </c>
      <c r="E142" s="23">
        <f t="shared" si="55"/>
        <v>-0.06059267447283695</v>
      </c>
      <c r="F142" s="21">
        <f>+C142-220228</f>
        <v>236990</v>
      </c>
      <c r="G142" s="21">
        <f>+D142-236659</f>
        <v>250050</v>
      </c>
      <c r="H142" s="23">
        <f t="shared" si="56"/>
        <v>-0.052229554089182166</v>
      </c>
      <c r="I142" s="24">
        <f t="shared" si="57"/>
        <v>46.81798590606669</v>
      </c>
      <c r="J142" s="24">
        <f t="shared" si="58"/>
        <v>90.32459546816321</v>
      </c>
      <c r="K142" s="21">
        <v>21406025.88</v>
      </c>
      <c r="L142" s="21">
        <v>20653783.03</v>
      </c>
      <c r="M142" s="25">
        <f t="shared" si="59"/>
        <v>0.0364215528413052</v>
      </c>
      <c r="N142" s="10"/>
      <c r="R142" s="2"/>
    </row>
    <row r="143" spans="1:18" ht="15.75">
      <c r="A143" s="19"/>
      <c r="B143" s="20">
        <f>DATE(2017,9,1)</f>
        <v>42979</v>
      </c>
      <c r="C143" s="21">
        <v>469781</v>
      </c>
      <c r="D143" s="21">
        <v>486459</v>
      </c>
      <c r="E143" s="23">
        <f t="shared" si="55"/>
        <v>-0.03428449262938912</v>
      </c>
      <c r="F143" s="21">
        <f>+C143-233419</f>
        <v>236362</v>
      </c>
      <c r="G143" s="21">
        <f>+D143-234302</f>
        <v>252157</v>
      </c>
      <c r="H143" s="23">
        <f t="shared" si="56"/>
        <v>-0.06263954599713671</v>
      </c>
      <c r="I143" s="24">
        <f t="shared" si="57"/>
        <v>46.84166528659099</v>
      </c>
      <c r="J143" s="24">
        <f t="shared" si="58"/>
        <v>93.10009375449522</v>
      </c>
      <c r="K143" s="21">
        <v>22005324.36</v>
      </c>
      <c r="L143" s="21">
        <v>21731947.99</v>
      </c>
      <c r="M143" s="25">
        <f t="shared" si="59"/>
        <v>0.012579469181768508</v>
      </c>
      <c r="N143" s="10"/>
      <c r="R143" s="2"/>
    </row>
    <row r="144" spans="1:18" ht="15.75">
      <c r="A144" s="19"/>
      <c r="B144" s="20">
        <f>DATE(2017,10,1)</f>
        <v>43009</v>
      </c>
      <c r="C144" s="21">
        <v>443959</v>
      </c>
      <c r="D144" s="21">
        <v>477593</v>
      </c>
      <c r="E144" s="23">
        <f t="shared" si="55"/>
        <v>-0.07042398025096683</v>
      </c>
      <c r="F144" s="21">
        <f>+C144-215005</f>
        <v>228954</v>
      </c>
      <c r="G144" s="21">
        <f>+D144-232483</f>
        <v>245110</v>
      </c>
      <c r="H144" s="23">
        <f t="shared" si="56"/>
        <v>-0.06591326343274448</v>
      </c>
      <c r="I144" s="24">
        <f t="shared" si="57"/>
        <v>47.42121524735392</v>
      </c>
      <c r="J144" s="24">
        <f t="shared" si="58"/>
        <v>91.95329760563257</v>
      </c>
      <c r="K144" s="21">
        <v>21053075.3</v>
      </c>
      <c r="L144" s="21">
        <v>21659363.64</v>
      </c>
      <c r="M144" s="25">
        <f t="shared" si="59"/>
        <v>-0.027991973821443254</v>
      </c>
      <c r="N144" s="10"/>
      <c r="R144" s="2"/>
    </row>
    <row r="145" spans="1:18" ht="15.75">
      <c r="A145" s="19"/>
      <c r="B145" s="20">
        <f>DATE(2017,11,1)</f>
        <v>43040</v>
      </c>
      <c r="C145" s="21">
        <v>438651</v>
      </c>
      <c r="D145" s="21">
        <v>459053</v>
      </c>
      <c r="E145" s="23">
        <f t="shared" si="55"/>
        <v>-0.044443669903039516</v>
      </c>
      <c r="F145" s="21">
        <f>+C145-216495</f>
        <v>222156</v>
      </c>
      <c r="G145" s="21">
        <f>+D145-224175</f>
        <v>234878</v>
      </c>
      <c r="H145" s="23">
        <f t="shared" si="56"/>
        <v>-0.054164289546062214</v>
      </c>
      <c r="I145" s="24">
        <f t="shared" si="57"/>
        <v>47.66654841776264</v>
      </c>
      <c r="J145" s="24">
        <f t="shared" si="58"/>
        <v>94.11845338410846</v>
      </c>
      <c r="K145" s="21">
        <v>20908979.13</v>
      </c>
      <c r="L145" s="21">
        <v>19929888.68</v>
      </c>
      <c r="M145" s="25">
        <f t="shared" si="59"/>
        <v>0.049126739527779406</v>
      </c>
      <c r="N145" s="10"/>
      <c r="R145" s="2"/>
    </row>
    <row r="146" spans="1:18" ht="15.75">
      <c r="A146" s="19"/>
      <c r="B146" s="20">
        <f>DATE(2017,12,1)</f>
        <v>43070</v>
      </c>
      <c r="C146" s="21">
        <v>489188</v>
      </c>
      <c r="D146" s="21">
        <v>472440</v>
      </c>
      <c r="E146" s="23">
        <f t="shared" si="55"/>
        <v>0.0354500042333418</v>
      </c>
      <c r="F146" s="21">
        <f>+C146-242094</f>
        <v>247094</v>
      </c>
      <c r="G146" s="21">
        <f>+D146-231079</f>
        <v>241361</v>
      </c>
      <c r="H146" s="23">
        <f t="shared" si="56"/>
        <v>0.023752801819680893</v>
      </c>
      <c r="I146" s="24">
        <f t="shared" si="57"/>
        <v>45.852801458743876</v>
      </c>
      <c r="J146" s="24">
        <f t="shared" si="58"/>
        <v>90.7777616615539</v>
      </c>
      <c r="K146" s="21">
        <v>22430640.24</v>
      </c>
      <c r="L146" s="21">
        <v>22002920</v>
      </c>
      <c r="M146" s="25">
        <f t="shared" si="59"/>
        <v>0.01943924897240904</v>
      </c>
      <c r="N146" s="10"/>
      <c r="R146" s="2"/>
    </row>
    <row r="147" spans="1:18" ht="15.75">
      <c r="A147" s="19"/>
      <c r="B147" s="20">
        <f>DATE(2018,1,1)</f>
        <v>43101</v>
      </c>
      <c r="C147" s="21">
        <v>417488</v>
      </c>
      <c r="D147" s="21">
        <v>431914</v>
      </c>
      <c r="E147" s="23">
        <f t="shared" si="55"/>
        <v>-0.033400167625962575</v>
      </c>
      <c r="F147" s="21">
        <f>+C147-207200</f>
        <v>210288</v>
      </c>
      <c r="G147" s="21">
        <f>+D147-215306</f>
        <v>216608</v>
      </c>
      <c r="H147" s="23">
        <f t="shared" si="56"/>
        <v>-0.029177131038558134</v>
      </c>
      <c r="I147" s="24">
        <f t="shared" si="57"/>
        <v>48.03263665063427</v>
      </c>
      <c r="J147" s="24">
        <f t="shared" si="58"/>
        <v>95.35993214068326</v>
      </c>
      <c r="K147" s="21">
        <v>20053049.41</v>
      </c>
      <c r="L147" s="21">
        <v>19897433.17</v>
      </c>
      <c r="M147" s="25">
        <f t="shared" si="59"/>
        <v>0.007820920350401073</v>
      </c>
      <c r="N147" s="10"/>
      <c r="R147" s="2"/>
    </row>
    <row r="148" spans="1:18" ht="15.75">
      <c r="A148" s="19"/>
      <c r="B148" s="20">
        <f>DATE(2018,2,1)</f>
        <v>43132</v>
      </c>
      <c r="C148" s="21">
        <v>430807</v>
      </c>
      <c r="D148" s="21">
        <v>452807</v>
      </c>
      <c r="E148" s="23">
        <f t="shared" si="55"/>
        <v>-0.04858582133226739</v>
      </c>
      <c r="F148" s="21">
        <f>+C148-217436</f>
        <v>213371</v>
      </c>
      <c r="G148" s="21">
        <f>+D148-220846</f>
        <v>231961</v>
      </c>
      <c r="H148" s="23">
        <f t="shared" si="56"/>
        <v>-0.08014278262294093</v>
      </c>
      <c r="I148" s="24">
        <f t="shared" si="57"/>
        <v>47.65711079439285</v>
      </c>
      <c r="J148" s="24">
        <f t="shared" si="58"/>
        <v>96.22215263555029</v>
      </c>
      <c r="K148" s="21">
        <v>20531016.93</v>
      </c>
      <c r="L148" s="21">
        <v>21299823.14</v>
      </c>
      <c r="M148" s="25">
        <f t="shared" si="59"/>
        <v>-0.03609448796578134</v>
      </c>
      <c r="N148" s="10"/>
      <c r="R148" s="2"/>
    </row>
    <row r="149" spans="1:18" ht="15.75">
      <c r="A149" s="19"/>
      <c r="B149" s="20">
        <f>DATE(2018,3,1)</f>
        <v>43160</v>
      </c>
      <c r="C149" s="21">
        <v>521607</v>
      </c>
      <c r="D149" s="21">
        <v>526085</v>
      </c>
      <c r="E149" s="23">
        <f t="shared" si="55"/>
        <v>-0.00851193248239353</v>
      </c>
      <c r="F149" s="21">
        <f>+C149-260934</f>
        <v>260673</v>
      </c>
      <c r="G149" s="21">
        <f>+D149-262524</f>
        <v>263561</v>
      </c>
      <c r="H149" s="23">
        <f t="shared" si="56"/>
        <v>-0.010957615125151293</v>
      </c>
      <c r="I149" s="24">
        <f t="shared" si="57"/>
        <v>49.02385564227474</v>
      </c>
      <c r="J149" s="24">
        <f t="shared" si="58"/>
        <v>98.09679663793335</v>
      </c>
      <c r="K149" s="21">
        <v>25571186.27</v>
      </c>
      <c r="L149" s="21">
        <v>24915267.97</v>
      </c>
      <c r="M149" s="25">
        <f t="shared" si="59"/>
        <v>0.026325958074774853</v>
      </c>
      <c r="N149" s="10"/>
      <c r="R149" s="2"/>
    </row>
    <row r="150" spans="1:18" ht="15.75" thickBot="1">
      <c r="A150" s="38"/>
      <c r="B150" s="45"/>
      <c r="C150" s="21"/>
      <c r="D150" s="21"/>
      <c r="E150" s="23"/>
      <c r="F150" s="21"/>
      <c r="G150" s="21"/>
      <c r="H150" s="23"/>
      <c r="I150" s="24"/>
      <c r="J150" s="24"/>
      <c r="K150" s="21"/>
      <c r="L150" s="21"/>
      <c r="M150" s="25"/>
      <c r="N150" s="10"/>
      <c r="R150" s="2"/>
    </row>
    <row r="151" spans="1:18" ht="17.25" thickBot="1" thickTop="1">
      <c r="A151" s="39" t="s">
        <v>14</v>
      </c>
      <c r="B151" s="40"/>
      <c r="C151" s="41">
        <f>SUM(C141:C150)</f>
        <v>4173265</v>
      </c>
      <c r="D151" s="41">
        <f>SUM(D141:D150)</f>
        <v>4356600</v>
      </c>
      <c r="E151" s="280">
        <f>(+C151-D151)/D151</f>
        <v>-0.042082128265160904</v>
      </c>
      <c r="F151" s="41">
        <f>SUM(F141:F150)</f>
        <v>2115733</v>
      </c>
      <c r="G151" s="41">
        <f>SUM(G141:G150)</f>
        <v>2208127</v>
      </c>
      <c r="H151" s="42">
        <f>(+F151-G151)/G151</f>
        <v>-0.04184270198226823</v>
      </c>
      <c r="I151" s="43">
        <f>K151/C151</f>
        <v>47.371670967455934</v>
      </c>
      <c r="J151" s="43">
        <f>K151/F151</f>
        <v>93.44021029118514</v>
      </c>
      <c r="K151" s="41">
        <f>SUM(K141:K150)</f>
        <v>197694536.44</v>
      </c>
      <c r="L151" s="41">
        <f>SUM(L141:L150)</f>
        <v>195686926.42999998</v>
      </c>
      <c r="M151" s="44">
        <f>(+K151-L151)/L151</f>
        <v>0.010259295532030196</v>
      </c>
      <c r="N151" s="10"/>
      <c r="R151" s="2"/>
    </row>
    <row r="152" spans="1:18" ht="15.75" customHeight="1" thickTop="1">
      <c r="A152" s="19"/>
      <c r="B152" s="45"/>
      <c r="C152" s="21"/>
      <c r="D152" s="21"/>
      <c r="E152" s="23"/>
      <c r="F152" s="21"/>
      <c r="G152" s="21"/>
      <c r="H152" s="23"/>
      <c r="I152" s="24"/>
      <c r="J152" s="24"/>
      <c r="K152" s="21"/>
      <c r="L152" s="21"/>
      <c r="M152" s="25"/>
      <c r="N152" s="10"/>
      <c r="R152" s="2"/>
    </row>
    <row r="153" spans="1:18" ht="15.75">
      <c r="A153" s="19" t="s">
        <v>63</v>
      </c>
      <c r="B153" s="20">
        <f>DATE(2017,7,1)</f>
        <v>42917</v>
      </c>
      <c r="C153" s="21">
        <v>79906</v>
      </c>
      <c r="D153" s="21">
        <v>90995</v>
      </c>
      <c r="E153" s="23">
        <f aca="true" t="shared" si="60" ref="E153:E161">(+C153-D153)/D153</f>
        <v>-0.12186383867245452</v>
      </c>
      <c r="F153" s="21">
        <f>+C153-36860</f>
        <v>43046</v>
      </c>
      <c r="G153" s="21">
        <f>+D153-43310</f>
        <v>47685</v>
      </c>
      <c r="H153" s="23">
        <f aca="true" t="shared" si="61" ref="H153:H161">(+F153-G153)/G153</f>
        <v>-0.09728426129810212</v>
      </c>
      <c r="I153" s="24">
        <f aca="true" t="shared" si="62" ref="I153:I161">K153/C153</f>
        <v>41.48382036392761</v>
      </c>
      <c r="J153" s="24">
        <f aca="true" t="shared" si="63" ref="J153:J161">K153/F153</f>
        <v>77.00613645867212</v>
      </c>
      <c r="K153" s="21">
        <v>3314806.15</v>
      </c>
      <c r="L153" s="21">
        <v>3405161.57</v>
      </c>
      <c r="M153" s="25">
        <f aca="true" t="shared" si="64" ref="M153:M161">(+K153-L153)/L153</f>
        <v>-0.026534840753532858</v>
      </c>
      <c r="N153" s="10"/>
      <c r="R153" s="2"/>
    </row>
    <row r="154" spans="1:18" ht="15.75">
      <c r="A154" s="19"/>
      <c r="B154" s="20">
        <f>DATE(2017,8,1)</f>
        <v>42948</v>
      </c>
      <c r="C154" s="21">
        <v>79783</v>
      </c>
      <c r="D154" s="21">
        <v>81875</v>
      </c>
      <c r="E154" s="23">
        <f t="shared" si="60"/>
        <v>-0.02555114503816794</v>
      </c>
      <c r="F154" s="21">
        <f>+C154-35821</f>
        <v>43962</v>
      </c>
      <c r="G154" s="21">
        <f>+D154-38874</f>
        <v>43001</v>
      </c>
      <c r="H154" s="23">
        <f t="shared" si="61"/>
        <v>0.022348317480988814</v>
      </c>
      <c r="I154" s="24">
        <f t="shared" si="62"/>
        <v>40.543974656255095</v>
      </c>
      <c r="J154" s="24">
        <f t="shared" si="63"/>
        <v>73.5799083299213</v>
      </c>
      <c r="K154" s="21">
        <v>3234719.93</v>
      </c>
      <c r="L154" s="21">
        <v>3227442.54</v>
      </c>
      <c r="M154" s="25">
        <f t="shared" si="64"/>
        <v>0.002254847269875835</v>
      </c>
      <c r="N154" s="10"/>
      <c r="R154" s="2"/>
    </row>
    <row r="155" spans="1:18" ht="15.75">
      <c r="A155" s="19"/>
      <c r="B155" s="20">
        <f>DATE(2017,9,1)</f>
        <v>42979</v>
      </c>
      <c r="C155" s="21">
        <v>84353</v>
      </c>
      <c r="D155" s="21">
        <v>77996</v>
      </c>
      <c r="E155" s="23">
        <f t="shared" si="60"/>
        <v>0.08150417970152316</v>
      </c>
      <c r="F155" s="21">
        <f>+C155-38205</f>
        <v>46148</v>
      </c>
      <c r="G155" s="21">
        <f>+D155-37134</f>
        <v>40862</v>
      </c>
      <c r="H155" s="23">
        <f t="shared" si="61"/>
        <v>0.12936224364935636</v>
      </c>
      <c r="I155" s="24">
        <f t="shared" si="62"/>
        <v>41.11766030846562</v>
      </c>
      <c r="J155" s="24">
        <f t="shared" si="63"/>
        <v>75.15814336482622</v>
      </c>
      <c r="K155" s="21">
        <v>3468398</v>
      </c>
      <c r="L155" s="21">
        <v>3211171.21</v>
      </c>
      <c r="M155" s="25">
        <f t="shared" si="64"/>
        <v>0.08010372950497399</v>
      </c>
      <c r="N155" s="10"/>
      <c r="R155" s="2"/>
    </row>
    <row r="156" spans="1:18" ht="15.75">
      <c r="A156" s="19"/>
      <c r="B156" s="20">
        <f>DATE(2017,10,1)</f>
        <v>43009</v>
      </c>
      <c r="C156" s="21">
        <v>80014</v>
      </c>
      <c r="D156" s="21">
        <v>81415</v>
      </c>
      <c r="E156" s="23">
        <f t="shared" si="60"/>
        <v>-0.01720813117975803</v>
      </c>
      <c r="F156" s="21">
        <f>+C156-36610</f>
        <v>43404</v>
      </c>
      <c r="G156" s="21">
        <f>+D156-39008</f>
        <v>42407</v>
      </c>
      <c r="H156" s="23">
        <f t="shared" si="61"/>
        <v>0.02351026953097366</v>
      </c>
      <c r="I156" s="24">
        <f t="shared" si="62"/>
        <v>42.121276276651585</v>
      </c>
      <c r="J156" s="24">
        <f t="shared" si="63"/>
        <v>77.6493364666851</v>
      </c>
      <c r="K156" s="21">
        <v>3370291.8</v>
      </c>
      <c r="L156" s="21">
        <v>3237622.05</v>
      </c>
      <c r="M156" s="25">
        <f t="shared" si="64"/>
        <v>0.04097752855371121</v>
      </c>
      <c r="N156" s="10"/>
      <c r="R156" s="2"/>
    </row>
    <row r="157" spans="1:18" ht="15.75">
      <c r="A157" s="19"/>
      <c r="B157" s="20">
        <f>DATE(2017,11,1)</f>
        <v>43040</v>
      </c>
      <c r="C157" s="21">
        <v>81471</v>
      </c>
      <c r="D157" s="21">
        <v>79210</v>
      </c>
      <c r="E157" s="23">
        <f t="shared" si="60"/>
        <v>0.02854437571013761</v>
      </c>
      <c r="F157" s="21">
        <f>+C157-37675</f>
        <v>43796</v>
      </c>
      <c r="G157" s="21">
        <f>+D157-38642</f>
        <v>40568</v>
      </c>
      <c r="H157" s="23">
        <f t="shared" si="61"/>
        <v>0.07957010451587458</v>
      </c>
      <c r="I157" s="24">
        <f t="shared" si="62"/>
        <v>42.033816572768224</v>
      </c>
      <c r="J157" s="24">
        <f t="shared" si="63"/>
        <v>78.19291875970409</v>
      </c>
      <c r="K157" s="21">
        <v>3424537.07</v>
      </c>
      <c r="L157" s="21">
        <v>3067872.51</v>
      </c>
      <c r="M157" s="25">
        <f t="shared" si="64"/>
        <v>0.11625794710745659</v>
      </c>
      <c r="N157" s="10"/>
      <c r="R157" s="2"/>
    </row>
    <row r="158" spans="1:18" ht="15.75">
      <c r="A158" s="19"/>
      <c r="B158" s="20">
        <f>DATE(2017,12,1)</f>
        <v>43070</v>
      </c>
      <c r="C158" s="21">
        <v>87056</v>
      </c>
      <c r="D158" s="21">
        <v>84348</v>
      </c>
      <c r="E158" s="23">
        <f t="shared" si="60"/>
        <v>0.03210508844311661</v>
      </c>
      <c r="F158" s="21">
        <f>+C158-40605</f>
        <v>46451</v>
      </c>
      <c r="G158" s="21">
        <f>+D158-40782</f>
        <v>43566</v>
      </c>
      <c r="H158" s="23">
        <f t="shared" si="61"/>
        <v>0.06622136528485516</v>
      </c>
      <c r="I158" s="24">
        <f t="shared" si="62"/>
        <v>43.27050576640323</v>
      </c>
      <c r="J158" s="24">
        <f t="shared" si="63"/>
        <v>81.09528643086263</v>
      </c>
      <c r="K158" s="21">
        <v>3766957.15</v>
      </c>
      <c r="L158" s="21">
        <v>3395559.65</v>
      </c>
      <c r="M158" s="25">
        <f t="shared" si="64"/>
        <v>0.10937740410479904</v>
      </c>
      <c r="N158" s="10"/>
      <c r="R158" s="2"/>
    </row>
    <row r="159" spans="1:18" ht="15.75">
      <c r="A159" s="19"/>
      <c r="B159" s="20">
        <f>DATE(2018,1,1)</f>
        <v>43101</v>
      </c>
      <c r="C159" s="21">
        <v>80564</v>
      </c>
      <c r="D159" s="21">
        <v>81990</v>
      </c>
      <c r="E159" s="23">
        <f t="shared" si="60"/>
        <v>-0.017392364922551532</v>
      </c>
      <c r="F159" s="21">
        <f>+C159-37104</f>
        <v>43460</v>
      </c>
      <c r="G159" s="21">
        <f>+D159-39665</f>
        <v>42325</v>
      </c>
      <c r="H159" s="23">
        <f t="shared" si="61"/>
        <v>0.026816302421736563</v>
      </c>
      <c r="I159" s="24">
        <f t="shared" si="62"/>
        <v>40.31286604438707</v>
      </c>
      <c r="J159" s="24">
        <f t="shared" si="63"/>
        <v>74.72999861942016</v>
      </c>
      <c r="K159" s="21">
        <v>3247765.74</v>
      </c>
      <c r="L159" s="21">
        <v>3194844.34</v>
      </c>
      <c r="M159" s="25">
        <f t="shared" si="64"/>
        <v>0.01656462549283399</v>
      </c>
      <c r="N159" s="10"/>
      <c r="R159" s="2"/>
    </row>
    <row r="160" spans="1:18" ht="15.75">
      <c r="A160" s="19"/>
      <c r="B160" s="20">
        <f>DATE(2018,2,1)</f>
        <v>43132</v>
      </c>
      <c r="C160" s="21">
        <v>82056</v>
      </c>
      <c r="D160" s="21">
        <v>90518</v>
      </c>
      <c r="E160" s="23">
        <f t="shared" si="60"/>
        <v>-0.0934841688945845</v>
      </c>
      <c r="F160" s="21">
        <f>+C160-38030</f>
        <v>44026</v>
      </c>
      <c r="G160" s="21">
        <f>+D160-42790</f>
        <v>47728</v>
      </c>
      <c r="H160" s="23">
        <f t="shared" si="61"/>
        <v>-0.07756453234998324</v>
      </c>
      <c r="I160" s="24">
        <f t="shared" si="62"/>
        <v>43.376592692795164</v>
      </c>
      <c r="J160" s="24">
        <f t="shared" si="63"/>
        <v>80.84562962794712</v>
      </c>
      <c r="K160" s="21">
        <v>3559309.69</v>
      </c>
      <c r="L160" s="21">
        <v>3465001.29</v>
      </c>
      <c r="M160" s="25">
        <f t="shared" si="64"/>
        <v>0.02721742132453864</v>
      </c>
      <c r="N160" s="10"/>
      <c r="R160" s="2"/>
    </row>
    <row r="161" spans="1:18" ht="15.75">
      <c r="A161" s="19"/>
      <c r="B161" s="20">
        <f>DATE(2018,3,1)</f>
        <v>43160</v>
      </c>
      <c r="C161" s="21">
        <v>100462</v>
      </c>
      <c r="D161" s="21">
        <v>104418</v>
      </c>
      <c r="E161" s="23">
        <f t="shared" si="60"/>
        <v>-0.03788618820509874</v>
      </c>
      <c r="F161" s="21">
        <f>+C161-46682</f>
        <v>53780</v>
      </c>
      <c r="G161" s="21">
        <f>+D161-48501</f>
        <v>55917</v>
      </c>
      <c r="H161" s="23">
        <f t="shared" si="61"/>
        <v>-0.038217357869699736</v>
      </c>
      <c r="I161" s="24">
        <f t="shared" si="62"/>
        <v>43.719761402321275</v>
      </c>
      <c r="J161" s="24">
        <f t="shared" si="63"/>
        <v>81.66929471922647</v>
      </c>
      <c r="K161" s="21">
        <v>4392174.67</v>
      </c>
      <c r="L161" s="21">
        <v>3935038.9</v>
      </c>
      <c r="M161" s="25">
        <f t="shared" si="64"/>
        <v>0.11617058474313939</v>
      </c>
      <c r="N161" s="10"/>
      <c r="R161" s="2"/>
    </row>
    <row r="162" spans="1:18" ht="15.75" thickBot="1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Bot="1" thickTop="1">
      <c r="A163" s="26" t="s">
        <v>14</v>
      </c>
      <c r="B163" s="27"/>
      <c r="C163" s="28">
        <f>SUM(C153:C162)</f>
        <v>755665</v>
      </c>
      <c r="D163" s="28">
        <f>SUM(D153:D162)</f>
        <v>772765</v>
      </c>
      <c r="E163" s="280">
        <f>(+C163-D163)/D163</f>
        <v>-0.022128331381467845</v>
      </c>
      <c r="F163" s="28">
        <f>SUM(F153:F162)</f>
        <v>408073</v>
      </c>
      <c r="G163" s="28">
        <f>SUM(G153:G162)</f>
        <v>404059</v>
      </c>
      <c r="H163" s="42">
        <f>(+F163-G163)/G163</f>
        <v>0.009934192778777357</v>
      </c>
      <c r="I163" s="43">
        <f>K163/C163</f>
        <v>42.05429681141775</v>
      </c>
      <c r="J163" s="43">
        <f>K163/F163</f>
        <v>77.87567469545888</v>
      </c>
      <c r="K163" s="28">
        <f>SUM(K153:K162)</f>
        <v>31778960.199999996</v>
      </c>
      <c r="L163" s="28">
        <f>SUM(L153:L162)</f>
        <v>30139714.06</v>
      </c>
      <c r="M163" s="44">
        <f>(+K163-L163)/L163</f>
        <v>0.054388244584427786</v>
      </c>
      <c r="N163" s="10"/>
      <c r="R163" s="2"/>
    </row>
    <row r="164" spans="1:18" ht="16.5" thickBot="1" thickTop="1">
      <c r="A164" s="63"/>
      <c r="B164" s="34"/>
      <c r="C164" s="35"/>
      <c r="D164" s="35"/>
      <c r="E164" s="29"/>
      <c r="F164" s="35"/>
      <c r="G164" s="35"/>
      <c r="H164" s="29"/>
      <c r="I164" s="36"/>
      <c r="J164" s="36"/>
      <c r="K164" s="35"/>
      <c r="L164" s="35"/>
      <c r="M164" s="37"/>
      <c r="N164" s="10"/>
      <c r="R164" s="2"/>
    </row>
    <row r="165" spans="1:18" ht="17.25" thickBot="1" thickTop="1">
      <c r="A165" s="64" t="s">
        <v>20</v>
      </c>
      <c r="B165" s="65"/>
      <c r="C165" s="28">
        <f>C163+C151+C67+C91+C103+C43+C19+C115+C127+C55+C139+C31+C79</f>
        <v>30011752</v>
      </c>
      <c r="D165" s="28">
        <f>D163+D151+D67+D91+D103+D43+D19+D115+D127+D55+D139+D31+D79</f>
        <v>30807526</v>
      </c>
      <c r="E165" s="279">
        <f>(+C165-D165)/D165</f>
        <v>-0.025830506480786546</v>
      </c>
      <c r="F165" s="28">
        <f>F163+F151+F67+F91+F103+F43+F19+F115+F127+F55+F139+F31+F79</f>
        <v>15454755</v>
      </c>
      <c r="G165" s="28">
        <f>G163+G151+G67+G91+G103+G43+G19+G115+G127+G55+G139+G31+G79</f>
        <v>15757840</v>
      </c>
      <c r="H165" s="30">
        <f>(+F165-G165)/G165</f>
        <v>-0.01923391784660842</v>
      </c>
      <c r="I165" s="31">
        <f>K165/C165</f>
        <v>43.45655619038835</v>
      </c>
      <c r="J165" s="31">
        <f>K165/F165</f>
        <v>84.38874554530304</v>
      </c>
      <c r="K165" s="28">
        <f>K163+K151+K67+K91+K103+K43+K19+K115+K127+K55+K139+K31+K79</f>
        <v>1304207387.1599998</v>
      </c>
      <c r="L165" s="28">
        <f>L163+L151+L67+L91+L103+L43+L19+L115+L127+L55+L139+L31+L79</f>
        <v>1285676083.2</v>
      </c>
      <c r="M165" s="32">
        <f>(+K165-L165)/L165</f>
        <v>0.014413664687512947</v>
      </c>
      <c r="N165" s="10"/>
      <c r="R165" s="2"/>
    </row>
    <row r="166" spans="1:18" ht="17.25" thickBot="1" thickTop="1">
      <c r="A166" s="64"/>
      <c r="B166" s="65"/>
      <c r="C166" s="28"/>
      <c r="D166" s="28"/>
      <c r="E166" s="29"/>
      <c r="F166" s="28"/>
      <c r="G166" s="28"/>
      <c r="H166" s="30"/>
      <c r="I166" s="31"/>
      <c r="J166" s="31"/>
      <c r="K166" s="28"/>
      <c r="L166" s="28"/>
      <c r="M166" s="32"/>
      <c r="N166" s="10"/>
      <c r="R166" s="2"/>
    </row>
    <row r="167" spans="1:18" ht="17.25" thickBot="1" thickTop="1">
      <c r="A167" s="64" t="s">
        <v>21</v>
      </c>
      <c r="B167" s="65"/>
      <c r="C167" s="28">
        <f>+C17+C29+C41+C53+C65+C77+C89+C101+C113+C125+C137+C149+C161</f>
        <v>3786752</v>
      </c>
      <c r="D167" s="28">
        <f>+D17+D29+D41+D53+D65+D77+D89+D101+D113+D125+D137+D149+D161</f>
        <v>3779418</v>
      </c>
      <c r="E167" s="279">
        <f>(+C167-D167)/D167</f>
        <v>0.0019405104172123856</v>
      </c>
      <c r="F167" s="28">
        <f>+F17+F29+F41+F53+F65+F77+F89+F101+F113+F125+F137+F149+F161</f>
        <v>1935095</v>
      </c>
      <c r="G167" s="28">
        <f>+G17+G29+G41+G53+G65+G77+G89+G101+G113+G125+G137+G149+G161</f>
        <v>1926632</v>
      </c>
      <c r="H167" s="30">
        <f>(+F167-G167)/G167</f>
        <v>0.004392639590746961</v>
      </c>
      <c r="I167" s="31">
        <f>K167/C167</f>
        <v>44.4675310529974</v>
      </c>
      <c r="J167" s="31">
        <f>K167/F167</f>
        <v>87.01769791663976</v>
      </c>
      <c r="K167" s="28">
        <f>+K17+K29+K41+K53+K65+K77+K89+K101+K113+K125+K137+K149+K161</f>
        <v>168387512.15</v>
      </c>
      <c r="L167" s="28">
        <f>+L17+L29+L41+L53+L65+L77+L89+L101+L113+L125+L137+L149+L161</f>
        <v>164125194.84</v>
      </c>
      <c r="M167" s="44">
        <f>(+K167-L167)/L167</f>
        <v>0.025969914699295184</v>
      </c>
      <c r="N167" s="10"/>
      <c r="R167" s="2"/>
    </row>
    <row r="168" spans="1:18" ht="15.75" thickTop="1">
      <c r="A168" s="66"/>
      <c r="B168" s="67"/>
      <c r="C168" s="68"/>
      <c r="D168" s="67"/>
      <c r="E168" s="67"/>
      <c r="F168" s="67"/>
      <c r="G168" s="67"/>
      <c r="H168" s="67"/>
      <c r="I168" s="67"/>
      <c r="J168" s="67"/>
      <c r="K168" s="68"/>
      <c r="L168" s="68"/>
      <c r="M168" s="67"/>
      <c r="R168" s="2"/>
    </row>
    <row r="169" spans="1:18" ht="18.75">
      <c r="A169" s="264" t="s">
        <v>22</v>
      </c>
      <c r="B169" s="70"/>
      <c r="C169" s="71"/>
      <c r="D169" s="71"/>
      <c r="E169" s="71"/>
      <c r="F169" s="71"/>
      <c r="G169" s="71"/>
      <c r="H169" s="71"/>
      <c r="I169" s="71"/>
      <c r="J169" s="71"/>
      <c r="K169" s="198"/>
      <c r="L169" s="198"/>
      <c r="M169" s="71"/>
      <c r="N169" s="2"/>
      <c r="O169" s="2"/>
      <c r="P169" s="2"/>
      <c r="Q169" s="2"/>
      <c r="R169" s="2"/>
    </row>
    <row r="170" spans="1:18" ht="18">
      <c r="A170" s="69"/>
      <c r="B170" s="70"/>
      <c r="C170" s="71"/>
      <c r="D170" s="71"/>
      <c r="E170" s="71"/>
      <c r="F170" s="71"/>
      <c r="G170" s="71"/>
      <c r="H170" s="71"/>
      <c r="I170" s="71"/>
      <c r="J170" s="71"/>
      <c r="K170" s="198"/>
      <c r="L170" s="198"/>
      <c r="M170" s="71"/>
      <c r="N170" s="2"/>
      <c r="O170" s="2"/>
      <c r="P170" s="2"/>
      <c r="Q170" s="2"/>
      <c r="R170" s="2"/>
    </row>
    <row r="171" spans="1:18" ht="15.75">
      <c r="A171" s="72"/>
      <c r="B171" s="73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73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73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73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73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73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73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73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73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73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4"/>
      <c r="N180" s="2"/>
      <c r="O180" s="2"/>
      <c r="P180" s="2"/>
      <c r="Q180" s="2"/>
      <c r="R180" s="2"/>
    </row>
    <row r="181" spans="1:18" ht="15">
      <c r="A181" s="2"/>
      <c r="B181" s="73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4"/>
      <c r="N181" s="2"/>
      <c r="O181" s="2"/>
      <c r="P181" s="2"/>
      <c r="Q181" s="2"/>
      <c r="R181" s="2"/>
    </row>
    <row r="182" spans="1:18" ht="15">
      <c r="A182" s="2"/>
      <c r="B182" s="70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4"/>
      <c r="N182" s="2"/>
      <c r="O182" s="2"/>
      <c r="P182" s="2"/>
      <c r="Q182" s="2"/>
      <c r="R182" s="2"/>
    </row>
    <row r="183" spans="1:18" ht="15.75">
      <c r="A183" s="76"/>
      <c r="B183" s="70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.75">
      <c r="A184" s="76"/>
      <c r="B184" s="70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.75">
      <c r="A185" s="76"/>
      <c r="B185" s="70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0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.75">
      <c r="A187" s="76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77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77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7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77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77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>
      <c r="A200" s="76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.75">
      <c r="A203" s="76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>
      <c r="A204" s="76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.75">
      <c r="A205" s="76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77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77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77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77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77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>
      <c r="A218" s="76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.75">
      <c r="A221" s="76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.75">
      <c r="A227" s="76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>
      <c r="A230" s="76"/>
      <c r="B230" s="76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3" manualBreakCount="3">
    <brk id="55" max="12" man="1"/>
    <brk id="103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3" sqref="A3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STATS'!$C$21*2</f>
        <v>308970</v>
      </c>
      <c r="D10" s="89">
        <f>'MONTHLY STATS'!$C$33*2</f>
        <v>149730</v>
      </c>
      <c r="E10" s="89">
        <f>'MONTHLY STATS'!$C$45*2</f>
        <v>1005414</v>
      </c>
      <c r="F10" s="89">
        <f>'MONTHLY STATS'!$C$57*2</f>
        <v>664254</v>
      </c>
      <c r="G10" s="89">
        <f>'MONTHLY STATS'!$C$69*2</f>
        <v>311360</v>
      </c>
      <c r="H10" s="89">
        <f>'MONTHLY STATS'!$C$81*2</f>
        <v>353238</v>
      </c>
      <c r="I10" s="89">
        <f>'MONTHLY STATS'!$C$93*2</f>
        <v>801810</v>
      </c>
      <c r="J10" s="89">
        <f>'MONTHLY STATS'!$C$105*2</f>
        <v>804648</v>
      </c>
      <c r="K10" s="89">
        <f>'MONTHLY STATS'!$C$117*2</f>
        <v>975242</v>
      </c>
      <c r="L10" s="89">
        <f>'MONTHLY STATS'!$C$129*2</f>
        <v>125854</v>
      </c>
      <c r="M10" s="89">
        <f>'MONTHLY STATS'!$C$141*2</f>
        <v>1009132</v>
      </c>
      <c r="N10" s="89">
        <f>'MONTHLY STATS'!$C$153*2</f>
        <v>159812</v>
      </c>
      <c r="O10" s="90">
        <f aca="true" t="shared" si="0" ref="O10:O15">SUM(B10:N10)</f>
        <v>7259558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STATS'!$C$22*2</f>
        <v>293770</v>
      </c>
      <c r="D11" s="89">
        <f>'MONTHLY STATS'!$C$34*2</f>
        <v>134350</v>
      </c>
      <c r="E11" s="89">
        <f>'MONTHLY STATS'!$C$46*2</f>
        <v>906982</v>
      </c>
      <c r="F11" s="89">
        <f>'MONTHLY STATS'!$C$58*2</f>
        <v>636920</v>
      </c>
      <c r="G11" s="89">
        <f>'MONTHLY STATS'!$C$70*2</f>
        <v>274594</v>
      </c>
      <c r="H11" s="89">
        <f>'MONTHLY STATS'!$C$82*2</f>
        <v>333204</v>
      </c>
      <c r="I11" s="89">
        <f>'MONTHLY STATS'!$C$94*2</f>
        <v>665186</v>
      </c>
      <c r="J11" s="89">
        <f>'MONTHLY STATS'!$C$106*2</f>
        <v>759878</v>
      </c>
      <c r="K11" s="89">
        <f>'MONTHLY STATS'!$C$118*2</f>
        <v>901030</v>
      </c>
      <c r="L11" s="89">
        <f>'MONTHLY STATS'!$C$130*2</f>
        <v>117056</v>
      </c>
      <c r="M11" s="89">
        <f>'MONTHLY STATS'!$C$142*2</f>
        <v>914436</v>
      </c>
      <c r="N11" s="89">
        <f>'MONTHLY STATS'!$C$154*2</f>
        <v>159566</v>
      </c>
      <c r="O11" s="90">
        <f t="shared" si="0"/>
        <v>6634348</v>
      </c>
      <c r="P11" s="83"/>
    </row>
    <row r="12" spans="1:16" ht="15.75">
      <c r="A12" s="88">
        <f>DATE(2017,9,1)</f>
        <v>42979</v>
      </c>
      <c r="B12" s="89">
        <f>'MONTHLY STATS'!$C$11*2</f>
        <v>561632</v>
      </c>
      <c r="C12" s="89">
        <f>'MONTHLY STATS'!$C$23*2</f>
        <v>295582</v>
      </c>
      <c r="D12" s="89">
        <f>'MONTHLY STATS'!$C$35*2</f>
        <v>139808</v>
      </c>
      <c r="E12" s="89">
        <f>'MONTHLY STATS'!$C$47*2</f>
        <v>880756</v>
      </c>
      <c r="F12" s="89">
        <f>'MONTHLY STATS'!$C$59*2</f>
        <v>638232</v>
      </c>
      <c r="G12" s="89">
        <f>'MONTHLY STATS'!$C$71*2</f>
        <v>302994</v>
      </c>
      <c r="H12" s="89">
        <f>'MONTHLY STATS'!$C$83*2</f>
        <v>338388</v>
      </c>
      <c r="I12" s="89">
        <f>'MONTHLY STATS'!$C$95*2</f>
        <v>668860</v>
      </c>
      <c r="J12" s="89">
        <f>'MONTHLY STATS'!$C$107*2</f>
        <v>767706</v>
      </c>
      <c r="K12" s="89">
        <f>'MONTHLY STATS'!$C$119*2</f>
        <v>921772</v>
      </c>
      <c r="L12" s="89">
        <f>'MONTHLY STATS'!$C$131*2</f>
        <v>118836</v>
      </c>
      <c r="M12" s="89">
        <f>'MONTHLY STATS'!$C$143*2</f>
        <v>939562</v>
      </c>
      <c r="N12" s="89">
        <f>'MONTHLY STATS'!$C$155*2</f>
        <v>168706</v>
      </c>
      <c r="O12" s="90">
        <f t="shared" si="0"/>
        <v>6742834</v>
      </c>
      <c r="P12" s="83"/>
    </row>
    <row r="13" spans="1:16" ht="15.75">
      <c r="A13" s="88">
        <f>DATE(2017,10,1)</f>
        <v>43009</v>
      </c>
      <c r="B13" s="89">
        <f>'MONTHLY STATS'!$C$12*2</f>
        <v>533626</v>
      </c>
      <c r="C13" s="89">
        <f>'MONTHLY STATS'!$C$24*2</f>
        <v>275400</v>
      </c>
      <c r="D13" s="89">
        <f>'MONTHLY STATS'!$C$36*2</f>
        <v>127314</v>
      </c>
      <c r="E13" s="89">
        <f>'MONTHLY STATS'!$C$48*2</f>
        <v>839426</v>
      </c>
      <c r="F13" s="89">
        <f>'MONTHLY STATS'!$C$60*2</f>
        <v>614650</v>
      </c>
      <c r="G13" s="89">
        <f>'MONTHLY STATS'!$C$72*2</f>
        <v>292648</v>
      </c>
      <c r="H13" s="89">
        <f>'MONTHLY STATS'!$C$84*2</f>
        <v>335534</v>
      </c>
      <c r="I13" s="89">
        <f>'MONTHLY STATS'!$C$96*2</f>
        <v>633626</v>
      </c>
      <c r="J13" s="89">
        <f>'MONTHLY STATS'!$C$108*2</f>
        <v>745854</v>
      </c>
      <c r="K13" s="89">
        <f>'MONTHLY STATS'!$C$120*2</f>
        <v>834022</v>
      </c>
      <c r="L13" s="89">
        <f>'MONTHLY STATS'!$C$132*2</f>
        <v>105728</v>
      </c>
      <c r="M13" s="89">
        <f>'MONTHLY STATS'!$C$144*2</f>
        <v>887918</v>
      </c>
      <c r="N13" s="89">
        <f>'MONTHLY STATS'!$C$156*2</f>
        <v>160028</v>
      </c>
      <c r="O13" s="90">
        <f t="shared" si="0"/>
        <v>6385774</v>
      </c>
      <c r="P13" s="83"/>
    </row>
    <row r="14" spans="1:16" ht="15.75">
      <c r="A14" s="88">
        <f>DATE(2017,11,1)</f>
        <v>43040</v>
      </c>
      <c r="B14" s="89">
        <f>'MONTHLY STATS'!$C$13*2</f>
        <v>542350</v>
      </c>
      <c r="C14" s="89">
        <f>'MONTHLY STATS'!$C$25*2</f>
        <v>256542</v>
      </c>
      <c r="D14" s="89">
        <f>'MONTHLY STATS'!$C$37*2</f>
        <v>126364</v>
      </c>
      <c r="E14" s="89">
        <f>'MONTHLY STATS'!$C$49*2</f>
        <v>817206</v>
      </c>
      <c r="F14" s="89">
        <f>'MONTHLY STATS'!$C$61*2</f>
        <v>561174</v>
      </c>
      <c r="G14" s="89">
        <f>'MONTHLY STATS'!$C$73*2</f>
        <v>273588</v>
      </c>
      <c r="H14" s="89">
        <f>'MONTHLY STATS'!$C$85*2</f>
        <v>317026</v>
      </c>
      <c r="I14" s="89">
        <f>'MONTHLY STATS'!$C$97*2</f>
        <v>639180</v>
      </c>
      <c r="J14" s="89">
        <f>'MONTHLY STATS'!$C$109*2</f>
        <v>701062</v>
      </c>
      <c r="K14" s="89">
        <f>'MONTHLY STATS'!$C$121*2</f>
        <v>836738</v>
      </c>
      <c r="L14" s="89">
        <f>'MONTHLY STATS'!$C$133*2</f>
        <v>108006</v>
      </c>
      <c r="M14" s="89">
        <f>'MONTHLY STATS'!$C$145*2</f>
        <v>877302</v>
      </c>
      <c r="N14" s="89">
        <f>'MONTHLY STATS'!$C$157*2</f>
        <v>162942</v>
      </c>
      <c r="O14" s="90">
        <f t="shared" si="0"/>
        <v>6219480</v>
      </c>
      <c r="P14" s="83"/>
    </row>
    <row r="15" spans="1:16" ht="15.75">
      <c r="A15" s="88">
        <f>DATE(2017,12,1)</f>
        <v>43070</v>
      </c>
      <c r="B15" s="89">
        <f>'MONTHLY STATS'!$C$14*2</f>
        <v>571776</v>
      </c>
      <c r="C15" s="89">
        <f>'MONTHLY STATS'!$C$26*2</f>
        <v>270404</v>
      </c>
      <c r="D15" s="89">
        <f>'MONTHLY STATS'!$C$38*2</f>
        <v>134536</v>
      </c>
      <c r="E15" s="89">
        <f>'MONTHLY STATS'!$C$50*2</f>
        <v>899258</v>
      </c>
      <c r="F15" s="89">
        <f>'MONTHLY STATS'!$C$62*2</f>
        <v>613776</v>
      </c>
      <c r="G15" s="89">
        <f>'MONTHLY STATS'!$C$74*2</f>
        <v>306964</v>
      </c>
      <c r="H15" s="89">
        <f>'MONTHLY STATS'!$C$86*2</f>
        <v>333336</v>
      </c>
      <c r="I15" s="89">
        <f>'MONTHLY STATS'!$C$98*2</f>
        <v>731888</v>
      </c>
      <c r="J15" s="89">
        <f>'MONTHLY STATS'!$C$110*2</f>
        <v>780528</v>
      </c>
      <c r="K15" s="89">
        <f>'MONTHLY STATS'!$C$122*2</f>
        <v>928304</v>
      </c>
      <c r="L15" s="89">
        <f>'MONTHLY STATS'!$C$134*2</f>
        <v>111974</v>
      </c>
      <c r="M15" s="89">
        <f>'MONTHLY STATS'!$C$146*2</f>
        <v>978376</v>
      </c>
      <c r="N15" s="89">
        <f>'MONTHLY STATS'!$C$158*2</f>
        <v>174112</v>
      </c>
      <c r="O15" s="90">
        <f t="shared" si="0"/>
        <v>6835232</v>
      </c>
      <c r="P15" s="83"/>
    </row>
    <row r="16" spans="1:16" ht="15.75">
      <c r="A16" s="88">
        <f>DATE(2018,1,1)</f>
        <v>43101</v>
      </c>
      <c r="B16" s="89">
        <f>'MONTHLY STATS'!$C$15*2</f>
        <v>502748</v>
      </c>
      <c r="C16" s="89">
        <f>'MONTHLY STATS'!$C$27*2</f>
        <v>246678</v>
      </c>
      <c r="D16" s="89">
        <f>'MONTHLY STATS'!$C$39*2</f>
        <v>108440</v>
      </c>
      <c r="E16" s="89">
        <f>'MONTHLY STATS'!$C$51*2</f>
        <v>782846</v>
      </c>
      <c r="F16" s="89">
        <f>'MONTHLY STATS'!$C$63*2</f>
        <v>533382</v>
      </c>
      <c r="G16" s="89">
        <f>'MONTHLY STATS'!$C$75*2</f>
        <v>266714</v>
      </c>
      <c r="H16" s="89">
        <f>'MONTHLY STATS'!$C$87*2</f>
        <v>295152</v>
      </c>
      <c r="I16" s="89">
        <f>'MONTHLY STATS'!$C$99*2</f>
        <v>692022</v>
      </c>
      <c r="J16" s="89">
        <f>'MONTHLY STATS'!$C$111*2</f>
        <v>734310</v>
      </c>
      <c r="K16" s="89">
        <f>'MONTHLY STATS'!$C$123*2</f>
        <v>788314</v>
      </c>
      <c r="L16" s="89">
        <f>'MONTHLY STATS'!$C$135*2</f>
        <v>104964</v>
      </c>
      <c r="M16" s="89">
        <f>'MONTHLY STATS'!$C$147*2</f>
        <v>834976</v>
      </c>
      <c r="N16" s="89">
        <f>'MONTHLY STATS'!$C$159*2</f>
        <v>161128</v>
      </c>
      <c r="O16" s="90">
        <f>SUM(B16:N16)</f>
        <v>6051674</v>
      </c>
      <c r="P16" s="83"/>
    </row>
    <row r="17" spans="1:16" ht="15.75">
      <c r="A17" s="88">
        <f>DATE(2018,2,1)</f>
        <v>43132</v>
      </c>
      <c r="B17" s="89">
        <f>'MONTHLY STATS'!$C$16*2</f>
        <v>520856</v>
      </c>
      <c r="C17" s="89">
        <f>'MONTHLY STATS'!$C$28*2</f>
        <v>258692</v>
      </c>
      <c r="D17" s="89">
        <f>'MONTHLY STATS'!$C$40*2</f>
        <v>131016</v>
      </c>
      <c r="E17" s="89">
        <f>'MONTHLY STATS'!$C$52*2</f>
        <v>826838</v>
      </c>
      <c r="F17" s="89">
        <f>'MONTHLY STATS'!$C$64*2</f>
        <v>541714</v>
      </c>
      <c r="G17" s="89">
        <f>'MONTHLY STATS'!$C$76*2</f>
        <v>299838</v>
      </c>
      <c r="H17" s="89">
        <f>'MONTHLY STATS'!$C$88*2</f>
        <v>305952</v>
      </c>
      <c r="I17" s="89">
        <f>'MONTHLY STATS'!$C$100*2</f>
        <v>749706</v>
      </c>
      <c r="J17" s="89">
        <f>'MONTHLY STATS'!$C$112*2</f>
        <v>696264</v>
      </c>
      <c r="K17" s="89">
        <f>'MONTHLY STATS'!$C$124*2</f>
        <v>855856</v>
      </c>
      <c r="L17" s="89">
        <f>'MONTHLY STATS'!$C$136*2</f>
        <v>108642</v>
      </c>
      <c r="M17" s="89">
        <f>'MONTHLY STATS'!$C$148*2</f>
        <v>861614</v>
      </c>
      <c r="N17" s="89">
        <f>'MONTHLY STATS'!$C$160*2</f>
        <v>164112</v>
      </c>
      <c r="O17" s="90">
        <f>SUM(B17:N17)</f>
        <v>6321100</v>
      </c>
      <c r="P17" s="83"/>
    </row>
    <row r="18" spans="1:16" ht="15.75">
      <c r="A18" s="88">
        <f>DATE(2018,3,1)</f>
        <v>43160</v>
      </c>
      <c r="B18" s="89">
        <f>'MONTHLY STATS'!$C$17*2</f>
        <v>598080</v>
      </c>
      <c r="C18" s="89">
        <f>'MONTHLY STATS'!$C$29*2</f>
        <v>311670</v>
      </c>
      <c r="D18" s="89">
        <f>'MONTHLY STATS'!$C$41*2</f>
        <v>162436</v>
      </c>
      <c r="E18" s="89">
        <f>'MONTHLY STATS'!$C$53*2</f>
        <v>981556</v>
      </c>
      <c r="F18" s="89">
        <f>'MONTHLY STATS'!$C$65*2</f>
        <v>632024</v>
      </c>
      <c r="G18" s="89">
        <f>'MONTHLY STATS'!$C$77*2</f>
        <v>334194</v>
      </c>
      <c r="H18" s="89">
        <f>'MONTHLY STATS'!$C$89*2</f>
        <v>373878</v>
      </c>
      <c r="I18" s="89">
        <f>'MONTHLY STATS'!$C$101*2</f>
        <v>891940</v>
      </c>
      <c r="J18" s="89">
        <f>'MONTHLY STATS'!$C$113*2</f>
        <v>850654</v>
      </c>
      <c r="K18" s="89">
        <f>'MONTHLY STATS'!$C$125*2</f>
        <v>1048772</v>
      </c>
      <c r="L18" s="89">
        <f>'MONTHLY STATS'!$C$137*2</f>
        <v>144162</v>
      </c>
      <c r="M18" s="89">
        <f>'MONTHLY STATS'!$C$149*2</f>
        <v>1043214</v>
      </c>
      <c r="N18" s="89">
        <f>'MONTHLY STATS'!$C$161*2</f>
        <v>200924</v>
      </c>
      <c r="O18" s="90">
        <f>SUM(B18:N18)</f>
        <v>7573504</v>
      </c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1" ref="B23:O23">SUM(B10:B21)</f>
        <v>4958538</v>
      </c>
      <c r="C23" s="90">
        <f t="shared" si="1"/>
        <v>2517708</v>
      </c>
      <c r="D23" s="90">
        <f t="shared" si="1"/>
        <v>1213994</v>
      </c>
      <c r="E23" s="90">
        <f t="shared" si="1"/>
        <v>7940282</v>
      </c>
      <c r="F23" s="90">
        <f t="shared" si="1"/>
        <v>5436126</v>
      </c>
      <c r="G23" s="90">
        <f>SUM(G10:G21)</f>
        <v>2662894</v>
      </c>
      <c r="H23" s="90">
        <f t="shared" si="1"/>
        <v>2985708</v>
      </c>
      <c r="I23" s="90">
        <f>SUM(I10:I21)</f>
        <v>6474218</v>
      </c>
      <c r="J23" s="90">
        <f t="shared" si="1"/>
        <v>6840904</v>
      </c>
      <c r="K23" s="90">
        <f>SUM(K10:K21)</f>
        <v>8090050</v>
      </c>
      <c r="L23" s="90">
        <f t="shared" si="1"/>
        <v>1045222</v>
      </c>
      <c r="M23" s="90">
        <f t="shared" si="1"/>
        <v>8346530</v>
      </c>
      <c r="N23" s="90">
        <f t="shared" si="1"/>
        <v>1511330</v>
      </c>
      <c r="O23" s="90">
        <f t="shared" si="1"/>
        <v>60023504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STATS'!$K$21*0.21</f>
        <v>1565148.7866</v>
      </c>
      <c r="D31" s="89">
        <f>'MONTHLY STATS'!$K$33*0.21</f>
        <v>689184.5604000001</v>
      </c>
      <c r="E31" s="89">
        <f>'MONTHLY STATS'!$K$45*0.21</f>
        <v>4460611.005899999</v>
      </c>
      <c r="F31" s="89">
        <f>'MONTHLY STATS'!$K$57*0.21</f>
        <v>3566987.9028</v>
      </c>
      <c r="G31" s="89">
        <f>'MONTHLY STATS'!$K$69*0.21</f>
        <v>1196058.7758</v>
      </c>
      <c r="H31" s="89">
        <f>'MONTHLY STATS'!$K$81*0.21</f>
        <v>1298802.3132</v>
      </c>
      <c r="I31" s="89">
        <f>'MONTHLY STATS'!$K$93*0.21</f>
        <v>2631559.1526</v>
      </c>
      <c r="J31" s="89">
        <f>'MONTHLY STATS'!$K$105*0.21</f>
        <v>3431655.6056999997</v>
      </c>
      <c r="K31" s="89">
        <f>'MONTHLY STATS'!$K$117*0.21</f>
        <v>4158981.4727999996</v>
      </c>
      <c r="L31" s="89">
        <f>'MONTHLY STATS'!$K$129*0.21</f>
        <v>615218.2322999999</v>
      </c>
      <c r="M31" s="89">
        <f>'MONTHLY STATS'!$K$141*0.21</f>
        <v>4984400.1732</v>
      </c>
      <c r="N31" s="89">
        <f>'MONTHLY STATS'!$K$153*0.21</f>
        <v>696109.2914999999</v>
      </c>
      <c r="O31" s="90">
        <f aca="true" t="shared" si="2" ref="O31:O36">SUM(B31:N31)</f>
        <v>32264941.636199996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STATS'!$K$22*0.21</f>
        <v>1446273.2151</v>
      </c>
      <c r="D32" s="89">
        <f>'MONTHLY STATS'!$K$34*0.21</f>
        <v>611950.0989</v>
      </c>
      <c r="E32" s="89">
        <f>'MONTHLY STATS'!$K$46*0.21</f>
        <v>4148072.1324</v>
      </c>
      <c r="F32" s="89">
        <f>'MONTHLY STATS'!$K$58*0.21</f>
        <v>3271380.7266</v>
      </c>
      <c r="G32" s="89">
        <f>'MONTHLY STATS'!$K$70*0.21</f>
        <v>1080196.9437</v>
      </c>
      <c r="H32" s="89">
        <f>'MONTHLY STATS'!$K$82*0.21</f>
        <v>1241597.3493</v>
      </c>
      <c r="I32" s="89">
        <f>'MONTHLY STATS'!$K$94*0.21</f>
        <v>2607558.1791000003</v>
      </c>
      <c r="J32" s="89">
        <f>'MONTHLY STATS'!$K$106*0.21</f>
        <v>3216207.9705</v>
      </c>
      <c r="K32" s="89">
        <f>'MONTHLY STATS'!$K$118*0.21</f>
        <v>3904257.0357000004</v>
      </c>
      <c r="L32" s="89">
        <f>'MONTHLY STATS'!$K$130*0.21</f>
        <v>561287.9495999999</v>
      </c>
      <c r="M32" s="89">
        <f>'MONTHLY STATS'!$K$142*0.21</f>
        <v>4495265.4348</v>
      </c>
      <c r="N32" s="89">
        <f>'MONTHLY STATS'!$K$154*0.21</f>
        <v>679291.1853</v>
      </c>
      <c r="O32" s="90">
        <f t="shared" si="2"/>
        <v>29993344.0044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STATS'!$K$23*0.21</f>
        <v>1403454.1689</v>
      </c>
      <c r="D33" s="89">
        <f>'MONTHLY STATS'!$K$35*0.21</f>
        <v>681119.3676</v>
      </c>
      <c r="E33" s="89">
        <f>'MONTHLY STATS'!$K$47*0.21</f>
        <v>4198608.9096</v>
      </c>
      <c r="F33" s="89">
        <f>'MONTHLY STATS'!$K$59*0.21</f>
        <v>3271438.7937</v>
      </c>
      <c r="G33" s="89">
        <f>'MONTHLY STATS'!$K$71*0.21</f>
        <v>1236637.0274999999</v>
      </c>
      <c r="H33" s="89">
        <f>'MONTHLY STATS'!$K$83*0.21</f>
        <v>1239769.8054</v>
      </c>
      <c r="I33" s="89">
        <f>'MONTHLY STATS'!$K$95*0.21</f>
        <v>2483460.4368</v>
      </c>
      <c r="J33" s="89">
        <f>'MONTHLY STATS'!$K$107*0.21</f>
        <v>3366565.5848999997</v>
      </c>
      <c r="K33" s="89">
        <f>'MONTHLY STATS'!$K$119*0.21</f>
        <v>3930696.8672999996</v>
      </c>
      <c r="L33" s="89">
        <f>'MONTHLY STATS'!$K$131*0.21</f>
        <v>580527.9207</v>
      </c>
      <c r="M33" s="89">
        <f>'MONTHLY STATS'!$K$143*0.21</f>
        <v>4621118.1156</v>
      </c>
      <c r="N33" s="89">
        <f>'MONTHLY STATS'!$K$155*0.21</f>
        <v>728363.58</v>
      </c>
      <c r="O33" s="90">
        <f t="shared" si="2"/>
        <v>30592965.666899998</v>
      </c>
      <c r="P33" s="83"/>
    </row>
    <row r="34" spans="1:16" ht="15.75">
      <c r="A34" s="88">
        <f>DATE(2017,10,1)</f>
        <v>43009</v>
      </c>
      <c r="B34" s="89">
        <f>'MONTHLY STATS'!$K$12*0.21</f>
        <v>2774120.6199</v>
      </c>
      <c r="C34" s="89">
        <f>'MONTHLY STATS'!$K$24*0.21</f>
        <v>1312497.4506</v>
      </c>
      <c r="D34" s="89">
        <f>'MONTHLY STATS'!$K$36*0.21</f>
        <v>607619.3045999999</v>
      </c>
      <c r="E34" s="89">
        <f>'MONTHLY STATS'!$K$48*0.21</f>
        <v>3811625.0528999995</v>
      </c>
      <c r="F34" s="89">
        <f>'MONTHLY STATS'!$K$60*0.21</f>
        <v>3015099.1857</v>
      </c>
      <c r="G34" s="89">
        <f>'MONTHLY STATS'!$K$72*0.21</f>
        <v>1084988.0999999999</v>
      </c>
      <c r="H34" s="89">
        <f>'MONTHLY STATS'!$K$84*0.21</f>
        <v>1213878.2375999999</v>
      </c>
      <c r="I34" s="89">
        <f>'MONTHLY STATS'!$K$96*0.21</f>
        <v>2351178.4694999997</v>
      </c>
      <c r="J34" s="89">
        <f>'MONTHLY STATS'!$K$108*0.21</f>
        <v>3205611.7926</v>
      </c>
      <c r="K34" s="89">
        <f>'MONTHLY STATS'!$K$120*0.21</f>
        <v>3733286.8083</v>
      </c>
      <c r="L34" s="89">
        <f>'MONTHLY STATS'!$K$132*0.21</f>
        <v>538448.7065999999</v>
      </c>
      <c r="M34" s="89">
        <f>'MONTHLY STATS'!$K$144*0.21</f>
        <v>4421145.813</v>
      </c>
      <c r="N34" s="89">
        <f>'MONTHLY STATS'!$K$156*0.21</f>
        <v>707761.2779999999</v>
      </c>
      <c r="O34" s="90">
        <f t="shared" si="2"/>
        <v>28777260.8193</v>
      </c>
      <c r="P34" s="83"/>
    </row>
    <row r="35" spans="1:16" ht="15.75">
      <c r="A35" s="88">
        <f>DATE(2017,11,1)</f>
        <v>43040</v>
      </c>
      <c r="B35" s="89">
        <f>'MONTHLY STATS'!$K$13*0.21</f>
        <v>2972302.2357</v>
      </c>
      <c r="C35" s="89">
        <f>'MONTHLY STATS'!$K$25*0.21</f>
        <v>1301471.0835</v>
      </c>
      <c r="D35" s="89">
        <f>'MONTHLY STATS'!$K$37*0.21</f>
        <v>596961.8928</v>
      </c>
      <c r="E35" s="89">
        <f>'MONTHLY STATS'!$K$49*0.21</f>
        <v>3878434.3877999997</v>
      </c>
      <c r="F35" s="89">
        <f>'MONTHLY STATS'!$K$61*0.21</f>
        <v>2960921.2878</v>
      </c>
      <c r="G35" s="89">
        <f>'MONTHLY STATS'!$K$73*0.21</f>
        <v>1062825.2691</v>
      </c>
      <c r="H35" s="89">
        <f>'MONTHLY STATS'!$K$85*0.21</f>
        <v>1202665.674</v>
      </c>
      <c r="I35" s="89">
        <f>'MONTHLY STATS'!$K$97*0.21</f>
        <v>2525974.9347</v>
      </c>
      <c r="J35" s="89">
        <f>'MONTHLY STATS'!$K$109*0.21</f>
        <v>3104131.7097</v>
      </c>
      <c r="K35" s="89">
        <f>'MONTHLY STATS'!$K$121*0.21</f>
        <v>3703205.8328999993</v>
      </c>
      <c r="L35" s="89">
        <f>'MONTHLY STATS'!$K$133*0.21</f>
        <v>523067.26290000003</v>
      </c>
      <c r="M35" s="89">
        <f>'MONTHLY STATS'!$K$145*0.21</f>
        <v>4390885.6173</v>
      </c>
      <c r="N35" s="89">
        <f>'MONTHLY STATS'!$K$157*0.21</f>
        <v>719152.7847</v>
      </c>
      <c r="O35" s="90">
        <f t="shared" si="2"/>
        <v>28941999.972899992</v>
      </c>
      <c r="P35" s="83"/>
    </row>
    <row r="36" spans="1:16" ht="15.75">
      <c r="A36" s="88">
        <f>DATE(2017,12,1)</f>
        <v>43070</v>
      </c>
      <c r="B36" s="89">
        <f>'MONTHLY STATS'!$K$14*0.21</f>
        <v>3028701.0936</v>
      </c>
      <c r="C36" s="89">
        <f>'MONTHLY STATS'!$K$26*0.21</f>
        <v>1377743.5266</v>
      </c>
      <c r="D36" s="89">
        <f>'MONTHLY STATS'!$K$38*0.21</f>
        <v>648417.3674999999</v>
      </c>
      <c r="E36" s="89">
        <f>'MONTHLY STATS'!$K$50*0.21</f>
        <v>4231507.2933</v>
      </c>
      <c r="F36" s="89">
        <f>'MONTHLY STATS'!$K$62*0.21</f>
        <v>3116219.2005000003</v>
      </c>
      <c r="G36" s="89">
        <f>'MONTHLY STATS'!$K$74*0.21</f>
        <v>1182315.7962</v>
      </c>
      <c r="H36" s="89">
        <f>'MONTHLY STATS'!$K$86*0.21</f>
        <v>1239685.6878</v>
      </c>
      <c r="I36" s="89">
        <f>'MONTHLY STATS'!$K$98*0.21</f>
        <v>2754469.7103</v>
      </c>
      <c r="J36" s="89">
        <f>'MONTHLY STATS'!$K$110*0.21</f>
        <v>3453791.9661</v>
      </c>
      <c r="K36" s="89">
        <f>'MONTHLY STATS'!$K$122*0.21</f>
        <v>4044797.316</v>
      </c>
      <c r="L36" s="89">
        <f>'MONTHLY STATS'!$K$134*0.21</f>
        <v>557348.1753</v>
      </c>
      <c r="M36" s="89">
        <f>'MONTHLY STATS'!$K$146*0.21</f>
        <v>4710434.4503999995</v>
      </c>
      <c r="N36" s="89">
        <f>'MONTHLY STATS'!$K$158*0.21</f>
        <v>791061.0014999999</v>
      </c>
      <c r="O36" s="90">
        <f t="shared" si="2"/>
        <v>31136492.585099995</v>
      </c>
      <c r="P36" s="83"/>
    </row>
    <row r="37" spans="1:16" ht="15.75">
      <c r="A37" s="88">
        <f>DATE(2018,1,1)</f>
        <v>43101</v>
      </c>
      <c r="B37" s="89">
        <f>'MONTHLY STATS'!$K$15*0.21</f>
        <v>2643657.0026999996</v>
      </c>
      <c r="C37" s="89">
        <f>'MONTHLY STATS'!$K$27*0.21</f>
        <v>1267673.6750999999</v>
      </c>
      <c r="D37" s="89">
        <f>'MONTHLY STATS'!$K$39*0.21</f>
        <v>522153.5445</v>
      </c>
      <c r="E37" s="89">
        <f>'MONTHLY STATS'!$K$51*0.21</f>
        <v>3724982.3477999996</v>
      </c>
      <c r="F37" s="89">
        <f>'MONTHLY STATS'!$K$63*0.21</f>
        <v>2618147.4732</v>
      </c>
      <c r="G37" s="89">
        <f>'MONTHLY STATS'!$K$75*0.21</f>
        <v>957672.0236999999</v>
      </c>
      <c r="H37" s="89">
        <f>'MONTHLY STATS'!$K$87*0.21</f>
        <v>1110737.5377</v>
      </c>
      <c r="I37" s="89">
        <f>'MONTHLY STATS'!$K$99*0.21</f>
        <v>2574418.56</v>
      </c>
      <c r="J37" s="89">
        <f>'MONTHLY STATS'!$K$111*0.21</f>
        <v>3161896.9137</v>
      </c>
      <c r="K37" s="89">
        <f>'MONTHLY STATS'!$K$123*0.21</f>
        <v>3475380.0186</v>
      </c>
      <c r="L37" s="290">
        <v>539078.04</v>
      </c>
      <c r="M37" s="89">
        <f>'MONTHLY STATS'!$K$147*0.21</f>
        <v>4211140.3761</v>
      </c>
      <c r="N37" s="89">
        <f>'MONTHLY STATS'!$K$159*0.21</f>
        <v>682030.8054000001</v>
      </c>
      <c r="O37" s="90">
        <f>SUM(B37:N37)</f>
        <v>27488968.3185</v>
      </c>
      <c r="P37" s="83"/>
    </row>
    <row r="38" spans="1:16" ht="15.75">
      <c r="A38" s="88">
        <f>DATE(2018,2,1)</f>
        <v>43132</v>
      </c>
      <c r="B38" s="89">
        <f>'MONTHLY STATS'!$K$16*0.21</f>
        <v>2897250.4554</v>
      </c>
      <c r="C38" s="89">
        <f>'MONTHLY STATS'!$K$28*0.21</f>
        <v>1349829.285</v>
      </c>
      <c r="D38" s="89">
        <f>'MONTHLY STATS'!$K$40*0.21</f>
        <v>642356.9628</v>
      </c>
      <c r="E38" s="89">
        <f>'MONTHLY STATS'!$K$52*0.21</f>
        <v>3946394.9196</v>
      </c>
      <c r="F38" s="89">
        <f>'MONTHLY STATS'!$K$64*0.21</f>
        <v>2704255.0206</v>
      </c>
      <c r="G38" s="89">
        <f>'MONTHLY STATS'!$K$76*0.21</f>
        <v>1125641.6199</v>
      </c>
      <c r="H38" s="89">
        <f>'MONTHLY STATS'!$K$88*0.21</f>
        <v>1150812.6105</v>
      </c>
      <c r="I38" s="89">
        <f>'MONTHLY STATS'!$K$100*0.21</f>
        <v>2923300.8651</v>
      </c>
      <c r="J38" s="89">
        <f>'MONTHLY STATS'!$K$112*0.21</f>
        <v>3209565.8826</v>
      </c>
      <c r="K38" s="89">
        <f>'MONTHLY STATS'!$K$124*0.21</f>
        <v>3768696.9347999995</v>
      </c>
      <c r="L38" s="89">
        <f>'MONTHLY STATS'!$K$136*0.21</f>
        <v>551846.7465</v>
      </c>
      <c r="M38" s="89">
        <f>'MONTHLY STATS'!$K$148*0.21</f>
        <v>4311513.5553</v>
      </c>
      <c r="N38" s="89">
        <f>'MONTHLY STATS'!$K$160*0.21</f>
        <v>747455.0349</v>
      </c>
      <c r="O38" s="90">
        <f>SUM(B38:N38)</f>
        <v>29328919.893</v>
      </c>
      <c r="P38" s="83"/>
    </row>
    <row r="39" spans="1:16" ht="15.75">
      <c r="A39" s="88">
        <f>DATE(2018,3,1)</f>
        <v>43160</v>
      </c>
      <c r="B39" s="89">
        <f>'MONTHLY STATS'!$K$17*0.21</f>
        <v>3246914.0108999996</v>
      </c>
      <c r="C39" s="89">
        <f>'MONTHLY STATS'!$K$29*0.21</f>
        <v>1598211.1446</v>
      </c>
      <c r="D39" s="89">
        <f>'MONTHLY STATS'!$K$41*0.21</f>
        <v>813576.2690999999</v>
      </c>
      <c r="E39" s="89">
        <f>'MONTHLY STATS'!$K$53*0.21</f>
        <v>4643391.341399999</v>
      </c>
      <c r="F39" s="89">
        <f>'MONTHLY STATS'!$K$65*0.21</f>
        <v>3274640.7939</v>
      </c>
      <c r="G39" s="89">
        <f>'MONTHLY STATS'!$K$77*0.21</f>
        <v>1383696.1550999999</v>
      </c>
      <c r="H39" s="89">
        <f>'MONTHLY STATS'!$K$89*0.21</f>
        <v>1430483.5776</v>
      </c>
      <c r="I39" s="89">
        <f>'MONTHLY STATS'!$K$101*0.21</f>
        <v>3457969.6683</v>
      </c>
      <c r="J39" s="89">
        <f>'MONTHLY STATS'!$K$113*0.21</f>
        <v>3820486.5194999995</v>
      </c>
      <c r="K39" s="89">
        <f>'MONTHLY STATS'!$K$125*0.21</f>
        <v>4640734.3563</v>
      </c>
      <c r="L39" s="89">
        <f>'MONTHLY STATS'!$K$137*0.21</f>
        <v>758967.9173999999</v>
      </c>
      <c r="M39" s="89">
        <f>'MONTHLY STATS'!$K$149*0.21</f>
        <v>5369949.1167</v>
      </c>
      <c r="N39" s="89">
        <f>'MONTHLY STATS'!$K$161*0.21</f>
        <v>922356.6806999999</v>
      </c>
      <c r="O39" s="90">
        <f>SUM(B39:N39)</f>
        <v>35361377.55149999</v>
      </c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3" ref="B44:O44">SUM(B31:B42)</f>
        <v>26114380.6539</v>
      </c>
      <c r="C44" s="90">
        <f t="shared" si="3"/>
        <v>12622302.336000001</v>
      </c>
      <c r="D44" s="90">
        <f t="shared" si="3"/>
        <v>5813339.368199999</v>
      </c>
      <c r="E44" s="90">
        <f t="shared" si="3"/>
        <v>37043627.3907</v>
      </c>
      <c r="F44" s="90">
        <f t="shared" si="3"/>
        <v>27799090.384800002</v>
      </c>
      <c r="G44" s="90">
        <f t="shared" si="3"/>
        <v>10310031.710999997</v>
      </c>
      <c r="H44" s="90">
        <f t="shared" si="3"/>
        <v>11128432.7931</v>
      </c>
      <c r="I44" s="90">
        <f>SUM(I31:I42)</f>
        <v>24309889.9764</v>
      </c>
      <c r="J44" s="90">
        <f t="shared" si="3"/>
        <v>29969913.945299994</v>
      </c>
      <c r="K44" s="90">
        <f>SUM(K31:K42)</f>
        <v>35360036.6427</v>
      </c>
      <c r="L44" s="90">
        <f t="shared" si="3"/>
        <v>5225790.9513</v>
      </c>
      <c r="M44" s="90">
        <f t="shared" si="3"/>
        <v>41515852.6524</v>
      </c>
      <c r="N44" s="90">
        <f t="shared" si="3"/>
        <v>6673581.642000001</v>
      </c>
      <c r="O44" s="90">
        <f t="shared" si="3"/>
        <v>273886270.4478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0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 aca="true" t="shared" si="0" ref="F9:F17">(+D9-E9)/E9</f>
        <v>0.4576837941177144</v>
      </c>
      <c r="G9" s="215">
        <f aca="true" t="shared" si="1" ref="G9:G17"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 t="shared" si="0"/>
        <v>0.20029963355039537</v>
      </c>
      <c r="G10" s="215">
        <f t="shared" si="1"/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 t="shared" si="0"/>
        <v>0.3045725498742386</v>
      </c>
      <c r="G11" s="215">
        <f t="shared" si="1"/>
        <v>0.21773159323148536</v>
      </c>
      <c r="H11" s="123"/>
    </row>
    <row r="12" spans="1:8" ht="15.75">
      <c r="A12" s="130"/>
      <c r="B12" s="131">
        <f>DATE(2017,10,1)</f>
        <v>43009</v>
      </c>
      <c r="C12" s="204">
        <v>9041484</v>
      </c>
      <c r="D12" s="204">
        <v>1651958.5</v>
      </c>
      <c r="E12" s="204">
        <v>1471793</v>
      </c>
      <c r="F12" s="132">
        <f t="shared" si="0"/>
        <v>0.12241225498422673</v>
      </c>
      <c r="G12" s="215">
        <f t="shared" si="1"/>
        <v>0.1827087787801206</v>
      </c>
      <c r="H12" s="123"/>
    </row>
    <row r="13" spans="1:8" ht="15.75">
      <c r="A13" s="130"/>
      <c r="B13" s="131">
        <f>DATE(2017,11,1)</f>
        <v>43040</v>
      </c>
      <c r="C13" s="204">
        <v>9136142</v>
      </c>
      <c r="D13" s="204">
        <v>2257240.5</v>
      </c>
      <c r="E13" s="204">
        <v>1464113</v>
      </c>
      <c r="F13" s="132">
        <f t="shared" si="0"/>
        <v>0.54171194436495</v>
      </c>
      <c r="G13" s="215">
        <f t="shared" si="1"/>
        <v>0.2470671427830259</v>
      </c>
      <c r="H13" s="123"/>
    </row>
    <row r="14" spans="1:8" ht="15.75">
      <c r="A14" s="130"/>
      <c r="B14" s="131">
        <f>DATE(2017,12,1)</f>
        <v>43070</v>
      </c>
      <c r="C14" s="204">
        <v>9438423</v>
      </c>
      <c r="D14" s="204">
        <v>1815083.5</v>
      </c>
      <c r="E14" s="204">
        <v>1199212.58</v>
      </c>
      <c r="F14" s="132">
        <f t="shared" si="0"/>
        <v>0.5135627579890797</v>
      </c>
      <c r="G14" s="215">
        <f t="shared" si="1"/>
        <v>0.19230792050748308</v>
      </c>
      <c r="H14" s="123"/>
    </row>
    <row r="15" spans="1:8" ht="15.75">
      <c r="A15" s="130"/>
      <c r="B15" s="131">
        <f>DATE(2018,1,1)</f>
        <v>43101</v>
      </c>
      <c r="C15" s="289">
        <v>8132859</v>
      </c>
      <c r="D15" s="204">
        <v>1650744.5</v>
      </c>
      <c r="E15" s="204">
        <v>1849187</v>
      </c>
      <c r="F15" s="132">
        <f t="shared" si="0"/>
        <v>-0.10731337609446746</v>
      </c>
      <c r="G15" s="215">
        <f t="shared" si="1"/>
        <v>0.20297222661797037</v>
      </c>
      <c r="H15" s="123"/>
    </row>
    <row r="16" spans="1:8" ht="15.75">
      <c r="A16" s="130"/>
      <c r="B16" s="131">
        <f>DATE(2018,2,1)</f>
        <v>43132</v>
      </c>
      <c r="C16" s="289">
        <v>8021208</v>
      </c>
      <c r="D16" s="204">
        <v>2102175.5</v>
      </c>
      <c r="E16" s="204">
        <v>1425537.45</v>
      </c>
      <c r="F16" s="132">
        <f t="shared" si="0"/>
        <v>0.4746546995310436</v>
      </c>
      <c r="G16" s="215">
        <f t="shared" si="1"/>
        <v>0.26207717091989136</v>
      </c>
      <c r="H16" s="123"/>
    </row>
    <row r="17" spans="1:8" ht="15.75">
      <c r="A17" s="130"/>
      <c r="B17" s="131">
        <f>DATE(2018,3,1)</f>
        <v>43160</v>
      </c>
      <c r="C17" s="289">
        <v>10076636</v>
      </c>
      <c r="D17" s="204">
        <v>2003815.5</v>
      </c>
      <c r="E17" s="204">
        <v>1884560.5</v>
      </c>
      <c r="F17" s="132">
        <f t="shared" si="0"/>
        <v>0.0632800061340562</v>
      </c>
      <c r="G17" s="215">
        <f t="shared" si="1"/>
        <v>0.19885758501150583</v>
      </c>
      <c r="H17" s="123"/>
    </row>
    <row r="18" spans="1:8" ht="15.75" thickBot="1">
      <c r="A18" s="133"/>
      <c r="B18" s="134"/>
      <c r="C18" s="204"/>
      <c r="D18" s="204"/>
      <c r="E18" s="204"/>
      <c r="F18" s="132"/>
      <c r="G18" s="215"/>
      <c r="H18" s="123"/>
    </row>
    <row r="19" spans="1:8" ht="17.25" thickBot="1" thickTop="1">
      <c r="A19" s="135" t="s">
        <v>14</v>
      </c>
      <c r="B19" s="136"/>
      <c r="C19" s="201">
        <f>SUM(C9:C18)</f>
        <v>79000516</v>
      </c>
      <c r="D19" s="201">
        <f>SUM(D9:D18)</f>
        <v>16547564.48</v>
      </c>
      <c r="E19" s="201">
        <f>SUM(E9:E18)</f>
        <v>13141419.12</v>
      </c>
      <c r="F19" s="137">
        <f>(+D19-E19)/E19</f>
        <v>0.25919159330487906</v>
      </c>
      <c r="G19" s="212">
        <f>D19/C19</f>
        <v>0.20946147339088267</v>
      </c>
      <c r="H19" s="123"/>
    </row>
    <row r="20" spans="1:8" ht="15.75" customHeight="1" thickTop="1">
      <c r="A20" s="138"/>
      <c r="B20" s="139"/>
      <c r="C20" s="205"/>
      <c r="D20" s="205"/>
      <c r="E20" s="205"/>
      <c r="F20" s="140"/>
      <c r="G20" s="216"/>
      <c r="H20" s="123"/>
    </row>
    <row r="21" spans="1:8" ht="15.75">
      <c r="A21" s="19" t="s">
        <v>15</v>
      </c>
      <c r="B21" s="131">
        <f>DATE(2017,7,1)</f>
        <v>42917</v>
      </c>
      <c r="C21" s="204">
        <v>2522382</v>
      </c>
      <c r="D21" s="204">
        <v>642088</v>
      </c>
      <c r="E21" s="204">
        <v>472086</v>
      </c>
      <c r="F21" s="132">
        <f aca="true" t="shared" si="2" ref="F21:F29">(+D21-E21)/E21</f>
        <v>0.36010811589413794</v>
      </c>
      <c r="G21" s="215">
        <f aca="true" t="shared" si="3" ref="G21:G29">D21/C21</f>
        <v>0.254556209170538</v>
      </c>
      <c r="H21" s="123"/>
    </row>
    <row r="22" spans="1:8" ht="15.75">
      <c r="A22" s="19"/>
      <c r="B22" s="131">
        <f>DATE(2017,8,1)</f>
        <v>42948</v>
      </c>
      <c r="C22" s="204">
        <v>2406702</v>
      </c>
      <c r="D22" s="204">
        <v>490413</v>
      </c>
      <c r="E22" s="204">
        <v>589363</v>
      </c>
      <c r="F22" s="132">
        <f t="shared" si="2"/>
        <v>-0.16789313207649614</v>
      </c>
      <c r="G22" s="215">
        <f t="shared" si="3"/>
        <v>0.2037697230483874</v>
      </c>
      <c r="H22" s="123"/>
    </row>
    <row r="23" spans="1:8" ht="15.75">
      <c r="A23" s="19"/>
      <c r="B23" s="131">
        <f>DATE(2017,9,1)</f>
        <v>42979</v>
      </c>
      <c r="C23" s="204">
        <v>2522640</v>
      </c>
      <c r="D23" s="204">
        <v>534707</v>
      </c>
      <c r="E23" s="204">
        <v>511288.5</v>
      </c>
      <c r="F23" s="132">
        <f t="shared" si="2"/>
        <v>0.045802907751690096</v>
      </c>
      <c r="G23" s="215">
        <f t="shared" si="3"/>
        <v>0.21196326071100116</v>
      </c>
      <c r="H23" s="123"/>
    </row>
    <row r="24" spans="1:8" ht="15.75">
      <c r="A24" s="19"/>
      <c r="B24" s="131">
        <f>DATE(2017,10,1)</f>
        <v>43009</v>
      </c>
      <c r="C24" s="204">
        <v>2455957</v>
      </c>
      <c r="D24" s="204">
        <v>515461.5</v>
      </c>
      <c r="E24" s="204">
        <v>462287</v>
      </c>
      <c r="F24" s="132">
        <f t="shared" si="2"/>
        <v>0.11502486550562746</v>
      </c>
      <c r="G24" s="215">
        <f t="shared" si="3"/>
        <v>0.2098821355585623</v>
      </c>
      <c r="H24" s="123"/>
    </row>
    <row r="25" spans="1:8" ht="15.75">
      <c r="A25" s="19"/>
      <c r="B25" s="131">
        <f>DATE(2017,11,1)</f>
        <v>43040</v>
      </c>
      <c r="C25" s="204">
        <v>2375566</v>
      </c>
      <c r="D25" s="204">
        <v>483129.5</v>
      </c>
      <c r="E25" s="204">
        <v>524259.5</v>
      </c>
      <c r="F25" s="132">
        <f t="shared" si="2"/>
        <v>-0.07845351395635176</v>
      </c>
      <c r="G25" s="215">
        <f t="shared" si="3"/>
        <v>0.2033744800186566</v>
      </c>
      <c r="H25" s="123"/>
    </row>
    <row r="26" spans="1:8" ht="15.75">
      <c r="A26" s="19"/>
      <c r="B26" s="131">
        <f>DATE(2017,12,1)</f>
        <v>43070</v>
      </c>
      <c r="C26" s="204">
        <v>2486449</v>
      </c>
      <c r="D26" s="204">
        <v>648728</v>
      </c>
      <c r="E26" s="204">
        <v>432721.5</v>
      </c>
      <c r="F26" s="132">
        <f t="shared" si="2"/>
        <v>0.49918134412087223</v>
      </c>
      <c r="G26" s="215">
        <f t="shared" si="3"/>
        <v>0.2609054116935437</v>
      </c>
      <c r="H26" s="123"/>
    </row>
    <row r="27" spans="1:8" ht="15.75">
      <c r="A27" s="19"/>
      <c r="B27" s="131">
        <f>DATE(2018,1,1)</f>
        <v>43101</v>
      </c>
      <c r="C27" s="204">
        <v>2176208</v>
      </c>
      <c r="D27" s="204">
        <v>641985</v>
      </c>
      <c r="E27" s="204">
        <v>489993</v>
      </c>
      <c r="F27" s="132">
        <f t="shared" si="2"/>
        <v>0.31019218641898966</v>
      </c>
      <c r="G27" s="215">
        <f t="shared" si="3"/>
        <v>0.2950016726342335</v>
      </c>
      <c r="H27" s="123"/>
    </row>
    <row r="28" spans="1:8" ht="15.75">
      <c r="A28" s="19"/>
      <c r="B28" s="131">
        <f>DATE(2018,2,1)</f>
        <v>43132</v>
      </c>
      <c r="C28" s="204">
        <v>2238897</v>
      </c>
      <c r="D28" s="204">
        <v>529004</v>
      </c>
      <c r="E28" s="204">
        <v>620150</v>
      </c>
      <c r="F28" s="132">
        <f t="shared" si="2"/>
        <v>-0.14697411916471823</v>
      </c>
      <c r="G28" s="215">
        <f t="shared" si="3"/>
        <v>0.2362788462354454</v>
      </c>
      <c r="H28" s="123"/>
    </row>
    <row r="29" spans="1:8" ht="15.75">
      <c r="A29" s="19"/>
      <c r="B29" s="131">
        <f>DATE(2018,3,1)</f>
        <v>43160</v>
      </c>
      <c r="C29" s="204">
        <v>2786500</v>
      </c>
      <c r="D29" s="204">
        <v>585525</v>
      </c>
      <c r="E29" s="204">
        <v>612292.5</v>
      </c>
      <c r="F29" s="132">
        <f t="shared" si="2"/>
        <v>-0.043716851014833594</v>
      </c>
      <c r="G29" s="215">
        <f t="shared" si="3"/>
        <v>0.21012919432980443</v>
      </c>
      <c r="H29" s="123"/>
    </row>
    <row r="30" spans="1:8" ht="15.75" thickBot="1">
      <c r="A30" s="133"/>
      <c r="B30" s="131"/>
      <c r="C30" s="204"/>
      <c r="D30" s="204"/>
      <c r="E30" s="204"/>
      <c r="F30" s="132"/>
      <c r="G30" s="215"/>
      <c r="H30" s="123"/>
    </row>
    <row r="31" spans="1:8" ht="17.25" thickBot="1" thickTop="1">
      <c r="A31" s="135" t="s">
        <v>14</v>
      </c>
      <c r="B31" s="136"/>
      <c r="C31" s="201">
        <f>SUM(C21:C30)</f>
        <v>21971301</v>
      </c>
      <c r="D31" s="201">
        <f>SUM(D21:D30)</f>
        <v>5071041</v>
      </c>
      <c r="E31" s="201">
        <f>SUM(E21:E30)</f>
        <v>4714441</v>
      </c>
      <c r="F31" s="137">
        <f>(+D31-E31)/E31</f>
        <v>0.0756399327088832</v>
      </c>
      <c r="G31" s="212">
        <f>D31/C31</f>
        <v>0.23080294607952437</v>
      </c>
      <c r="H31" s="123"/>
    </row>
    <row r="32" spans="1:8" ht="15.75" customHeight="1" thickTop="1">
      <c r="A32" s="255"/>
      <c r="B32" s="139"/>
      <c r="C32" s="205"/>
      <c r="D32" s="205"/>
      <c r="E32" s="205"/>
      <c r="F32" s="140"/>
      <c r="G32" s="219"/>
      <c r="H32" s="123"/>
    </row>
    <row r="33" spans="1:8" ht="15.75">
      <c r="A33" s="19" t="s">
        <v>56</v>
      </c>
      <c r="B33" s="131">
        <f>DATE(2017,7,1)</f>
        <v>42917</v>
      </c>
      <c r="C33" s="204">
        <v>1479706</v>
      </c>
      <c r="D33" s="204">
        <v>330815.5</v>
      </c>
      <c r="E33" s="204">
        <v>360412.5</v>
      </c>
      <c r="F33" s="132">
        <f aca="true" t="shared" si="4" ref="F33:F41">(+D33-E33)/E33</f>
        <v>-0.08211979329240801</v>
      </c>
      <c r="G33" s="215">
        <f aca="true" t="shared" si="5" ref="G33:G41">D33/C33</f>
        <v>0.223568398046639</v>
      </c>
      <c r="H33" s="123"/>
    </row>
    <row r="34" spans="1:8" ht="15.75">
      <c r="A34" s="19"/>
      <c r="B34" s="131">
        <f>DATE(2017,8,1)</f>
        <v>42948</v>
      </c>
      <c r="C34" s="204">
        <v>1531572</v>
      </c>
      <c r="D34" s="204">
        <v>326287.5</v>
      </c>
      <c r="E34" s="204">
        <v>239413.5</v>
      </c>
      <c r="F34" s="132">
        <f t="shared" si="4"/>
        <v>0.36286174338539806</v>
      </c>
      <c r="G34" s="215">
        <f t="shared" si="5"/>
        <v>0.21304091482476828</v>
      </c>
      <c r="H34" s="123"/>
    </row>
    <row r="35" spans="1:8" ht="15.75">
      <c r="A35" s="19"/>
      <c r="B35" s="131">
        <f>DATE(2017,9,1)</f>
        <v>42979</v>
      </c>
      <c r="C35" s="204">
        <v>1408112</v>
      </c>
      <c r="D35" s="204">
        <v>453438</v>
      </c>
      <c r="E35" s="204">
        <v>301041.5</v>
      </c>
      <c r="F35" s="132">
        <f t="shared" si="4"/>
        <v>0.5062308685015189</v>
      </c>
      <c r="G35" s="215">
        <f t="shared" si="5"/>
        <v>0.3220184189893986</v>
      </c>
      <c r="H35" s="123"/>
    </row>
    <row r="36" spans="1:8" ht="15.75">
      <c r="A36" s="19"/>
      <c r="B36" s="131">
        <f>DATE(2017,10,1)</f>
        <v>43009</v>
      </c>
      <c r="C36" s="204">
        <v>1260391</v>
      </c>
      <c r="D36" s="204">
        <v>325504</v>
      </c>
      <c r="E36" s="204">
        <v>288579</v>
      </c>
      <c r="F36" s="132">
        <f t="shared" si="4"/>
        <v>0.1279545635683816</v>
      </c>
      <c r="G36" s="215">
        <f t="shared" si="5"/>
        <v>0.25825636647675204</v>
      </c>
      <c r="H36" s="123"/>
    </row>
    <row r="37" spans="1:8" ht="15.75">
      <c r="A37" s="19"/>
      <c r="B37" s="131">
        <f>DATE(2017,11,1)</f>
        <v>43040</v>
      </c>
      <c r="C37" s="204">
        <v>1296139</v>
      </c>
      <c r="D37" s="204">
        <v>300283</v>
      </c>
      <c r="E37" s="204">
        <v>327940.5</v>
      </c>
      <c r="F37" s="132">
        <f t="shared" si="4"/>
        <v>-0.08433694526903508</v>
      </c>
      <c r="G37" s="215">
        <f t="shared" si="5"/>
        <v>0.2316749978204498</v>
      </c>
      <c r="H37" s="123"/>
    </row>
    <row r="38" spans="1:8" ht="15.75">
      <c r="A38" s="19"/>
      <c r="B38" s="131">
        <f>DATE(2017,12,1)</f>
        <v>43070</v>
      </c>
      <c r="C38" s="204">
        <v>1478408</v>
      </c>
      <c r="D38" s="204">
        <v>366330</v>
      </c>
      <c r="E38" s="204">
        <v>333530</v>
      </c>
      <c r="F38" s="132">
        <f t="shared" si="4"/>
        <v>0.09834197823284262</v>
      </c>
      <c r="G38" s="215">
        <f t="shared" si="5"/>
        <v>0.24778680851294094</v>
      </c>
      <c r="H38" s="123"/>
    </row>
    <row r="39" spans="1:8" ht="15.75">
      <c r="A39" s="19"/>
      <c r="B39" s="131">
        <f>DATE(2018,1,1)</f>
        <v>43101</v>
      </c>
      <c r="C39" s="204">
        <v>1342464</v>
      </c>
      <c r="D39" s="204">
        <v>337127.5</v>
      </c>
      <c r="E39" s="204">
        <v>283836</v>
      </c>
      <c r="F39" s="132">
        <f t="shared" si="4"/>
        <v>0.1877545484011894</v>
      </c>
      <c r="G39" s="215">
        <f t="shared" si="5"/>
        <v>0.25112591473588863</v>
      </c>
      <c r="H39" s="123"/>
    </row>
    <row r="40" spans="1:8" ht="15.75">
      <c r="A40" s="19"/>
      <c r="B40" s="131">
        <f>DATE(2018,2,1)</f>
        <v>43132</v>
      </c>
      <c r="C40" s="204">
        <v>1397331</v>
      </c>
      <c r="D40" s="204">
        <v>389142.5</v>
      </c>
      <c r="E40" s="204">
        <v>329434.5</v>
      </c>
      <c r="F40" s="132">
        <f t="shared" si="4"/>
        <v>0.1812439195044842</v>
      </c>
      <c r="G40" s="215">
        <f t="shared" si="5"/>
        <v>0.278489849577516</v>
      </c>
      <c r="H40" s="123"/>
    </row>
    <row r="41" spans="1:8" ht="15.75">
      <c r="A41" s="19"/>
      <c r="B41" s="131">
        <f>DATE(2018,3,1)</f>
        <v>43160</v>
      </c>
      <c r="C41" s="204">
        <v>1787070</v>
      </c>
      <c r="D41" s="204">
        <v>428782</v>
      </c>
      <c r="E41" s="204">
        <v>488182</v>
      </c>
      <c r="F41" s="132">
        <f t="shared" si="4"/>
        <v>-0.1216759323367105</v>
      </c>
      <c r="G41" s="215">
        <f t="shared" si="5"/>
        <v>0.23993576077042308</v>
      </c>
      <c r="H41" s="123"/>
    </row>
    <row r="42" spans="1:8" ht="15.75" thickBot="1">
      <c r="A42" s="133"/>
      <c r="B42" s="131"/>
      <c r="C42" s="204"/>
      <c r="D42" s="204"/>
      <c r="E42" s="204"/>
      <c r="F42" s="132"/>
      <c r="G42" s="215"/>
      <c r="H42" s="123"/>
    </row>
    <row r="43" spans="1:8" ht="17.25" thickBot="1" thickTop="1">
      <c r="A43" s="141" t="s">
        <v>14</v>
      </c>
      <c r="B43" s="142"/>
      <c r="C43" s="206">
        <f>SUM(C33:C42)</f>
        <v>12981193</v>
      </c>
      <c r="D43" s="206">
        <f>SUM(D33:D42)</f>
        <v>3257710</v>
      </c>
      <c r="E43" s="206">
        <f>SUM(E33:E42)</f>
        <v>2952369.5</v>
      </c>
      <c r="F43" s="143">
        <f>(+D43-E43)/E43</f>
        <v>0.10342218343605027</v>
      </c>
      <c r="G43" s="217">
        <f>D43/C43</f>
        <v>0.25095613323058985</v>
      </c>
      <c r="H43" s="123"/>
    </row>
    <row r="44" spans="1:8" ht="15.75" thickTop="1">
      <c r="A44" s="133"/>
      <c r="B44" s="134"/>
      <c r="C44" s="204"/>
      <c r="D44" s="204"/>
      <c r="E44" s="204"/>
      <c r="F44" s="132"/>
      <c r="G44" s="218"/>
      <c r="H44" s="123"/>
    </row>
    <row r="45" spans="1:8" ht="15.75">
      <c r="A45" s="177" t="s">
        <v>65</v>
      </c>
      <c r="B45" s="131">
        <f>DATE(2017,7,1)</f>
        <v>42917</v>
      </c>
      <c r="C45" s="204">
        <v>15842458</v>
      </c>
      <c r="D45" s="204">
        <v>3444933.46</v>
      </c>
      <c r="E45" s="204">
        <v>3130542.12</v>
      </c>
      <c r="F45" s="132">
        <f aca="true" t="shared" si="6" ref="F45:F53">(+D45-E45)/E45</f>
        <v>0.10042712346575929</v>
      </c>
      <c r="G45" s="215">
        <f aca="true" t="shared" si="7" ref="G45:G53">D45/C45</f>
        <v>0.21744942988013602</v>
      </c>
      <c r="H45" s="123"/>
    </row>
    <row r="46" spans="1:8" ht="15.75">
      <c r="A46" s="177"/>
      <c r="B46" s="131">
        <f>DATE(2017,8,1)</f>
        <v>42948</v>
      </c>
      <c r="C46" s="204">
        <v>13052978</v>
      </c>
      <c r="D46" s="204">
        <v>2738890.99</v>
      </c>
      <c r="E46" s="204">
        <v>3206208.5</v>
      </c>
      <c r="F46" s="132">
        <f t="shared" si="6"/>
        <v>-0.14575393646420678</v>
      </c>
      <c r="G46" s="215">
        <f t="shared" si="7"/>
        <v>0.20982882143829557</v>
      </c>
      <c r="H46" s="123"/>
    </row>
    <row r="47" spans="1:8" ht="15.75">
      <c r="A47" s="177"/>
      <c r="B47" s="131">
        <f>DATE(2017,9,1)</f>
        <v>42979</v>
      </c>
      <c r="C47" s="204">
        <v>13344756</v>
      </c>
      <c r="D47" s="204">
        <v>3077099.69</v>
      </c>
      <c r="E47" s="204">
        <v>2415045.66</v>
      </c>
      <c r="F47" s="132">
        <f t="shared" si="6"/>
        <v>0.27413727241910607</v>
      </c>
      <c r="G47" s="215">
        <f t="shared" si="7"/>
        <v>0.2305849346364969</v>
      </c>
      <c r="H47" s="123"/>
    </row>
    <row r="48" spans="1:8" ht="15.75">
      <c r="A48" s="177"/>
      <c r="B48" s="131">
        <f>DATE(2017,10,1)</f>
        <v>43009</v>
      </c>
      <c r="C48" s="204">
        <v>13971709.25</v>
      </c>
      <c r="D48" s="204">
        <v>2596719.93</v>
      </c>
      <c r="E48" s="204">
        <v>3125907.93</v>
      </c>
      <c r="F48" s="132">
        <f t="shared" si="6"/>
        <v>-0.16929097460653614</v>
      </c>
      <c r="G48" s="215">
        <f t="shared" si="7"/>
        <v>0.18585556595375044</v>
      </c>
      <c r="H48" s="123"/>
    </row>
    <row r="49" spans="1:8" ht="15.75">
      <c r="A49" s="177"/>
      <c r="B49" s="131">
        <f>DATE(2017,11,1)</f>
        <v>43040</v>
      </c>
      <c r="C49" s="204">
        <v>14387146.5</v>
      </c>
      <c r="D49" s="204">
        <v>2954256.04</v>
      </c>
      <c r="E49" s="204">
        <v>2966258.88</v>
      </c>
      <c r="F49" s="132">
        <f t="shared" si="6"/>
        <v>-0.004046457334162233</v>
      </c>
      <c r="G49" s="215">
        <f t="shared" si="7"/>
        <v>0.20533995674541855</v>
      </c>
      <c r="H49" s="123"/>
    </row>
    <row r="50" spans="1:8" ht="15.75">
      <c r="A50" s="177"/>
      <c r="B50" s="131">
        <f>DATE(2017,12,1)</f>
        <v>43070</v>
      </c>
      <c r="C50" s="204">
        <v>15084785</v>
      </c>
      <c r="D50" s="204">
        <v>3254600.78</v>
      </c>
      <c r="E50" s="204">
        <v>2610049.5</v>
      </c>
      <c r="F50" s="132">
        <f t="shared" si="6"/>
        <v>0.24694982987870528</v>
      </c>
      <c r="G50" s="215">
        <f t="shared" si="7"/>
        <v>0.21575387252784842</v>
      </c>
      <c r="H50" s="123"/>
    </row>
    <row r="51" spans="1:8" ht="15.75">
      <c r="A51" s="177"/>
      <c r="B51" s="131">
        <f>DATE(2018,1,1)</f>
        <v>43101</v>
      </c>
      <c r="C51" s="204">
        <v>14565484</v>
      </c>
      <c r="D51" s="204">
        <v>3015386.15</v>
      </c>
      <c r="E51" s="204">
        <v>2753749.09</v>
      </c>
      <c r="F51" s="132">
        <f t="shared" si="6"/>
        <v>0.09501121977674447</v>
      </c>
      <c r="G51" s="215">
        <f t="shared" si="7"/>
        <v>0.2070227223482584</v>
      </c>
      <c r="H51" s="123"/>
    </row>
    <row r="52" spans="1:8" ht="15.75">
      <c r="A52" s="177"/>
      <c r="B52" s="131">
        <f>DATE(2018,2,1)</f>
        <v>43132</v>
      </c>
      <c r="C52" s="204">
        <v>15128544.02</v>
      </c>
      <c r="D52" s="204">
        <v>2470968.89</v>
      </c>
      <c r="E52" s="204">
        <v>2722791.24</v>
      </c>
      <c r="F52" s="132">
        <f t="shared" si="6"/>
        <v>-0.0924868371473092</v>
      </c>
      <c r="G52" s="215">
        <f t="shared" si="7"/>
        <v>0.16333157286870228</v>
      </c>
      <c r="H52" s="123"/>
    </row>
    <row r="53" spans="1:8" ht="15.75">
      <c r="A53" s="177"/>
      <c r="B53" s="131">
        <f>DATE(2018,3,1)</f>
        <v>43160</v>
      </c>
      <c r="C53" s="204">
        <v>17292295.03</v>
      </c>
      <c r="D53" s="204">
        <v>3071035.69</v>
      </c>
      <c r="E53" s="204">
        <v>3530371.28</v>
      </c>
      <c r="F53" s="132">
        <f t="shared" si="6"/>
        <v>-0.13010971186010778</v>
      </c>
      <c r="G53" s="215">
        <f t="shared" si="7"/>
        <v>0.17759561033813798</v>
      </c>
      <c r="H53" s="123"/>
    </row>
    <row r="54" spans="1:8" ht="15.75" customHeight="1" thickBot="1">
      <c r="A54" s="133"/>
      <c r="B54" s="134"/>
      <c r="C54" s="204"/>
      <c r="D54" s="204"/>
      <c r="E54" s="204"/>
      <c r="F54" s="132"/>
      <c r="G54" s="215"/>
      <c r="H54" s="123"/>
    </row>
    <row r="55" spans="1:8" ht="17.25" customHeight="1" thickBot="1" thickTop="1">
      <c r="A55" s="141" t="s">
        <v>14</v>
      </c>
      <c r="B55" s="142"/>
      <c r="C55" s="206">
        <f>SUM(C45:C54)</f>
        <v>132670155.8</v>
      </c>
      <c r="D55" s="206">
        <f>SUM(D45:D54)</f>
        <v>26623891.62</v>
      </c>
      <c r="E55" s="206">
        <f>SUM(E45:E54)</f>
        <v>26460924.200000003</v>
      </c>
      <c r="F55" s="143">
        <f>(+D55-E55)/E55</f>
        <v>0.006158795466410733</v>
      </c>
      <c r="G55" s="217">
        <f>D55/C55</f>
        <v>0.2006773223371763</v>
      </c>
      <c r="H55" s="123"/>
    </row>
    <row r="56" spans="1:8" ht="15.75" customHeight="1" thickTop="1">
      <c r="A56" s="133"/>
      <c r="B56" s="134"/>
      <c r="C56" s="204"/>
      <c r="D56" s="204"/>
      <c r="E56" s="204"/>
      <c r="F56" s="132"/>
      <c r="G56" s="218"/>
      <c r="H56" s="123"/>
    </row>
    <row r="57" spans="1:8" ht="15" customHeight="1">
      <c r="A57" s="130" t="s">
        <v>39</v>
      </c>
      <c r="B57" s="131">
        <f>DATE(2017,7,1)</f>
        <v>42917</v>
      </c>
      <c r="C57" s="204">
        <v>17883666</v>
      </c>
      <c r="D57" s="204">
        <v>4596352</v>
      </c>
      <c r="E57" s="204">
        <v>2718467</v>
      </c>
      <c r="F57" s="132">
        <f aca="true" t="shared" si="8" ref="F57:F65">(+D57-E57)/E57</f>
        <v>0.6907882273354798</v>
      </c>
      <c r="G57" s="215">
        <f aca="true" t="shared" si="9" ref="G57:G65">D57/C57</f>
        <v>0.25701397017815025</v>
      </c>
      <c r="H57" s="123"/>
    </row>
    <row r="58" spans="1:8" ht="15" customHeight="1">
      <c r="A58" s="130"/>
      <c r="B58" s="131">
        <f>DATE(2017,8,1)</f>
        <v>42948</v>
      </c>
      <c r="C58" s="204">
        <v>16620305</v>
      </c>
      <c r="D58" s="204">
        <v>3842200.5</v>
      </c>
      <c r="E58" s="204">
        <v>3097592</v>
      </c>
      <c r="F58" s="132">
        <f t="shared" si="8"/>
        <v>0.2403830136441468</v>
      </c>
      <c r="G58" s="215">
        <f t="shared" si="9"/>
        <v>0.23117508974714965</v>
      </c>
      <c r="H58" s="123"/>
    </row>
    <row r="59" spans="1:8" ht="15" customHeight="1">
      <c r="A59" s="130"/>
      <c r="B59" s="131">
        <f>DATE(2017,9,1)</f>
        <v>42979</v>
      </c>
      <c r="C59" s="204">
        <v>17068391</v>
      </c>
      <c r="D59" s="204">
        <v>3686124</v>
      </c>
      <c r="E59" s="204">
        <v>3708385.5</v>
      </c>
      <c r="F59" s="132">
        <f t="shared" si="8"/>
        <v>-0.006003016676664279</v>
      </c>
      <c r="G59" s="215">
        <f t="shared" si="9"/>
        <v>0.2159620083697403</v>
      </c>
      <c r="H59" s="123"/>
    </row>
    <row r="60" spans="1:8" ht="15" customHeight="1">
      <c r="A60" s="130"/>
      <c r="B60" s="131">
        <f>DATE(2017,10,1)</f>
        <v>43009</v>
      </c>
      <c r="C60" s="204">
        <v>18396365</v>
      </c>
      <c r="D60" s="204">
        <v>2992221.5</v>
      </c>
      <c r="E60" s="204">
        <v>3396436</v>
      </c>
      <c r="F60" s="132">
        <f t="shared" si="8"/>
        <v>-0.11901136956503817</v>
      </c>
      <c r="G60" s="215">
        <f t="shared" si="9"/>
        <v>0.162652866476611</v>
      </c>
      <c r="H60" s="123"/>
    </row>
    <row r="61" spans="1:8" ht="15" customHeight="1">
      <c r="A61" s="130"/>
      <c r="B61" s="131">
        <f>DATE(2017,11,1)</f>
        <v>43040</v>
      </c>
      <c r="C61" s="204">
        <v>16278178</v>
      </c>
      <c r="D61" s="204">
        <v>3676452</v>
      </c>
      <c r="E61" s="204">
        <v>3220250.5</v>
      </c>
      <c r="F61" s="132">
        <f t="shared" si="8"/>
        <v>0.14166646352512016</v>
      </c>
      <c r="G61" s="215">
        <f t="shared" si="9"/>
        <v>0.22585156643452356</v>
      </c>
      <c r="H61" s="123"/>
    </row>
    <row r="62" spans="1:8" ht="15" customHeight="1">
      <c r="A62" s="130"/>
      <c r="B62" s="131">
        <f>DATE(2017,12,1)</f>
        <v>43070</v>
      </c>
      <c r="C62" s="204">
        <v>16423739</v>
      </c>
      <c r="D62" s="204">
        <v>3464937</v>
      </c>
      <c r="E62" s="204">
        <v>3576057.01</v>
      </c>
      <c r="F62" s="132">
        <f t="shared" si="8"/>
        <v>-0.03107333291646818</v>
      </c>
      <c r="G62" s="215">
        <f t="shared" si="9"/>
        <v>0.21097126543474662</v>
      </c>
      <c r="H62" s="123"/>
    </row>
    <row r="63" spans="1:8" ht="15" customHeight="1">
      <c r="A63" s="130"/>
      <c r="B63" s="131">
        <f>DATE(2018,1,1)</f>
        <v>43101</v>
      </c>
      <c r="C63" s="204">
        <v>15307865</v>
      </c>
      <c r="D63" s="204">
        <v>2865998</v>
      </c>
      <c r="E63" s="204">
        <v>2690525.5</v>
      </c>
      <c r="F63" s="132">
        <f t="shared" si="8"/>
        <v>0.06521867196575538</v>
      </c>
      <c r="G63" s="215">
        <f t="shared" si="9"/>
        <v>0.18722388785111443</v>
      </c>
      <c r="H63" s="123"/>
    </row>
    <row r="64" spans="1:8" ht="15" customHeight="1">
      <c r="A64" s="130"/>
      <c r="B64" s="131">
        <f>DATE(2018,2,1)</f>
        <v>43132</v>
      </c>
      <c r="C64" s="204">
        <v>13583101</v>
      </c>
      <c r="D64" s="204">
        <v>2919393.5</v>
      </c>
      <c r="E64" s="204">
        <v>3822740</v>
      </c>
      <c r="F64" s="132">
        <f t="shared" si="8"/>
        <v>-0.2363086424920345</v>
      </c>
      <c r="G64" s="215">
        <f t="shared" si="9"/>
        <v>0.2149283510444338</v>
      </c>
      <c r="H64" s="123"/>
    </row>
    <row r="65" spans="1:8" ht="15" customHeight="1">
      <c r="A65" s="130"/>
      <c r="B65" s="131">
        <f>DATE(2018,3,1)</f>
        <v>43160</v>
      </c>
      <c r="C65" s="204">
        <v>16628329</v>
      </c>
      <c r="D65" s="204">
        <v>3678003</v>
      </c>
      <c r="E65" s="204">
        <v>4053648.5</v>
      </c>
      <c r="F65" s="132">
        <f t="shared" si="8"/>
        <v>-0.09266849358053615</v>
      </c>
      <c r="G65" s="215">
        <f t="shared" si="9"/>
        <v>0.22118897214506641</v>
      </c>
      <c r="H65" s="123"/>
    </row>
    <row r="66" spans="1:8" ht="15.75" thickBot="1">
      <c r="A66" s="133"/>
      <c r="B66" s="131"/>
      <c r="C66" s="204"/>
      <c r="D66" s="204"/>
      <c r="E66" s="204"/>
      <c r="F66" s="132"/>
      <c r="G66" s="215"/>
      <c r="H66" s="123"/>
    </row>
    <row r="67" spans="1:8" ht="17.25" customHeight="1" thickBot="1" thickTop="1">
      <c r="A67" s="141" t="s">
        <v>14</v>
      </c>
      <c r="B67" s="142"/>
      <c r="C67" s="207">
        <f>SUM(C57:C66)</f>
        <v>148189939</v>
      </c>
      <c r="D67" s="261">
        <f>SUM(D57:D66)</f>
        <v>31721681.5</v>
      </c>
      <c r="E67" s="206">
        <f>SUM(E57:E66)</f>
        <v>30284102.009999998</v>
      </c>
      <c r="F67" s="268">
        <f>(+D67-E67)/E67</f>
        <v>0.04746977438939099</v>
      </c>
      <c r="G67" s="267">
        <f>D67/C67</f>
        <v>0.214060966041696</v>
      </c>
      <c r="H67" s="123"/>
    </row>
    <row r="68" spans="1:8" ht="15.75" customHeight="1" thickTop="1">
      <c r="A68" s="130"/>
      <c r="B68" s="134"/>
      <c r="C68" s="204"/>
      <c r="D68" s="204"/>
      <c r="E68" s="204"/>
      <c r="F68" s="132"/>
      <c r="G68" s="218"/>
      <c r="H68" s="123"/>
    </row>
    <row r="69" spans="1:8" ht="15.75">
      <c r="A69" s="130" t="s">
        <v>66</v>
      </c>
      <c r="B69" s="131">
        <f>DATE(2017,7,1)</f>
        <v>42917</v>
      </c>
      <c r="C69" s="204">
        <v>2593382</v>
      </c>
      <c r="D69" s="204">
        <v>703792.5</v>
      </c>
      <c r="E69" s="204">
        <v>754116</v>
      </c>
      <c r="F69" s="132">
        <f aca="true" t="shared" si="10" ref="F69:F77">(+D69-E69)/E69</f>
        <v>-0.06673177601323935</v>
      </c>
      <c r="G69" s="215">
        <f aca="true" t="shared" si="11" ref="G69:G77">D69/C69</f>
        <v>0.27138019003756486</v>
      </c>
      <c r="H69" s="123"/>
    </row>
    <row r="70" spans="1:8" ht="15.75">
      <c r="A70" s="130"/>
      <c r="B70" s="131">
        <f>DATE(2017,8,1)</f>
        <v>42948</v>
      </c>
      <c r="C70" s="204">
        <v>2465059</v>
      </c>
      <c r="D70" s="204">
        <v>551376.5</v>
      </c>
      <c r="E70" s="204">
        <v>722738.5</v>
      </c>
      <c r="F70" s="132">
        <f t="shared" si="10"/>
        <v>-0.23710097082139667</v>
      </c>
      <c r="G70" s="215">
        <f t="shared" si="11"/>
        <v>0.22367679637688184</v>
      </c>
      <c r="H70" s="123"/>
    </row>
    <row r="71" spans="1:8" ht="15.75">
      <c r="A71" s="130"/>
      <c r="B71" s="131">
        <f>DATE(2017,9,1)</f>
        <v>42979</v>
      </c>
      <c r="C71" s="204">
        <v>2623530</v>
      </c>
      <c r="D71" s="204">
        <v>737458.5</v>
      </c>
      <c r="E71" s="204">
        <v>677597</v>
      </c>
      <c r="F71" s="132">
        <f t="shared" si="10"/>
        <v>0.08834380907825742</v>
      </c>
      <c r="G71" s="215">
        <f t="shared" si="11"/>
        <v>0.2810939840596448</v>
      </c>
      <c r="H71" s="123"/>
    </row>
    <row r="72" spans="1:8" ht="15.75">
      <c r="A72" s="130"/>
      <c r="B72" s="131">
        <f>DATE(2017,10,1)</f>
        <v>43009</v>
      </c>
      <c r="C72" s="204">
        <v>2440666</v>
      </c>
      <c r="D72" s="204">
        <v>599085</v>
      </c>
      <c r="E72" s="204">
        <v>567558.5</v>
      </c>
      <c r="F72" s="132">
        <f t="shared" si="10"/>
        <v>0.05554757791487574</v>
      </c>
      <c r="G72" s="215">
        <f t="shared" si="11"/>
        <v>0.2454596409340729</v>
      </c>
      <c r="H72" s="123"/>
    </row>
    <row r="73" spans="1:8" ht="15.75">
      <c r="A73" s="130"/>
      <c r="B73" s="131">
        <f>DATE(2017,11,1)</f>
        <v>43040</v>
      </c>
      <c r="C73" s="204">
        <v>2540148</v>
      </c>
      <c r="D73" s="204">
        <v>713068.5</v>
      </c>
      <c r="E73" s="204">
        <v>629102</v>
      </c>
      <c r="F73" s="132">
        <f t="shared" si="10"/>
        <v>0.13347040702461604</v>
      </c>
      <c r="G73" s="215">
        <f t="shared" si="11"/>
        <v>0.2807192730502317</v>
      </c>
      <c r="H73" s="123"/>
    </row>
    <row r="74" spans="1:8" ht="15.75">
      <c r="A74" s="130"/>
      <c r="B74" s="131">
        <f>DATE(2017,12,1)</f>
        <v>43070</v>
      </c>
      <c r="C74" s="204">
        <v>2896793</v>
      </c>
      <c r="D74" s="204">
        <v>726564.5</v>
      </c>
      <c r="E74" s="204">
        <v>629349.5</v>
      </c>
      <c r="F74" s="132">
        <f t="shared" si="10"/>
        <v>0.1544690192015724</v>
      </c>
      <c r="G74" s="215">
        <f t="shared" si="11"/>
        <v>0.25081685160106365</v>
      </c>
      <c r="H74" s="123"/>
    </row>
    <row r="75" spans="1:8" ht="15.75">
      <c r="A75" s="130"/>
      <c r="B75" s="131">
        <f>DATE(2018,1,1)</f>
        <v>43101</v>
      </c>
      <c r="C75" s="204">
        <v>2551275</v>
      </c>
      <c r="D75" s="204">
        <v>498012.5</v>
      </c>
      <c r="E75" s="204">
        <v>710461.5</v>
      </c>
      <c r="F75" s="132">
        <f t="shared" si="10"/>
        <v>-0.29902957443858674</v>
      </c>
      <c r="G75" s="215">
        <f t="shared" si="11"/>
        <v>0.19520141889839393</v>
      </c>
      <c r="H75" s="123"/>
    </row>
    <row r="76" spans="1:8" ht="15.75">
      <c r="A76" s="130"/>
      <c r="B76" s="131">
        <f>DATE(2018,2,1)</f>
        <v>43132</v>
      </c>
      <c r="C76" s="204">
        <v>2698155</v>
      </c>
      <c r="D76" s="204">
        <v>615710.5</v>
      </c>
      <c r="E76" s="204">
        <v>760458.5</v>
      </c>
      <c r="F76" s="132">
        <f t="shared" si="10"/>
        <v>-0.19034306277068375</v>
      </c>
      <c r="G76" s="215">
        <f t="shared" si="11"/>
        <v>0.22819686044723153</v>
      </c>
      <c r="H76" s="123"/>
    </row>
    <row r="77" spans="1:8" ht="15.75">
      <c r="A77" s="130"/>
      <c r="B77" s="131">
        <f>DATE(2018,3,1)</f>
        <v>43160</v>
      </c>
      <c r="C77" s="204">
        <v>3210038</v>
      </c>
      <c r="D77" s="204">
        <v>710779</v>
      </c>
      <c r="E77" s="204">
        <v>716633</v>
      </c>
      <c r="F77" s="132">
        <f t="shared" si="10"/>
        <v>-0.008168755834576415</v>
      </c>
      <c r="G77" s="215">
        <f t="shared" si="11"/>
        <v>0.2214238585337619</v>
      </c>
      <c r="H77" s="123"/>
    </row>
    <row r="78" spans="1:8" ht="15.75" customHeight="1" thickBot="1">
      <c r="A78" s="130"/>
      <c r="B78" s="131"/>
      <c r="C78" s="204"/>
      <c r="D78" s="204"/>
      <c r="E78" s="204"/>
      <c r="F78" s="132"/>
      <c r="G78" s="215"/>
      <c r="H78" s="123"/>
    </row>
    <row r="79" spans="1:8" ht="17.25" thickBot="1" thickTop="1">
      <c r="A79" s="141" t="s">
        <v>14</v>
      </c>
      <c r="B79" s="142"/>
      <c r="C79" s="207">
        <f>SUM(C69:C78)</f>
        <v>24019046</v>
      </c>
      <c r="D79" s="261">
        <f>SUM(D69:D78)</f>
        <v>5855847.5</v>
      </c>
      <c r="E79" s="207">
        <f>SUM(E69:E78)</f>
        <v>6168014.5</v>
      </c>
      <c r="F79" s="268">
        <f>(+D79-E79)/E79</f>
        <v>-0.050610613836916236</v>
      </c>
      <c r="G79" s="267">
        <f>D79/C79</f>
        <v>0.24380017008169266</v>
      </c>
      <c r="H79" s="123"/>
    </row>
    <row r="80" spans="1:8" ht="15.75" customHeight="1" thickTop="1">
      <c r="A80" s="130"/>
      <c r="B80" s="134"/>
      <c r="C80" s="204"/>
      <c r="D80" s="204"/>
      <c r="E80" s="204"/>
      <c r="F80" s="132"/>
      <c r="G80" s="218"/>
      <c r="H80" s="123"/>
    </row>
    <row r="81" spans="1:8" ht="15.75">
      <c r="A81" s="130" t="s">
        <v>17</v>
      </c>
      <c r="B81" s="131">
        <f>DATE(2017,7,1)</f>
        <v>42917</v>
      </c>
      <c r="C81" s="204">
        <v>1774615.5</v>
      </c>
      <c r="D81" s="204">
        <v>362602</v>
      </c>
      <c r="E81" s="204">
        <v>441103</v>
      </c>
      <c r="F81" s="132">
        <f aca="true" t="shared" si="12" ref="F81:F89">(+D81-E81)/E81</f>
        <v>-0.17796523714415907</v>
      </c>
      <c r="G81" s="215">
        <f aca="true" t="shared" si="13" ref="G81:G89">D81/C81</f>
        <v>0.20432707817552592</v>
      </c>
      <c r="H81" s="123"/>
    </row>
    <row r="82" spans="1:8" ht="15.75">
      <c r="A82" s="130"/>
      <c r="B82" s="131">
        <f>DATE(2017,8,1)</f>
        <v>42948</v>
      </c>
      <c r="C82" s="204">
        <v>1671518</v>
      </c>
      <c r="D82" s="204">
        <v>327445</v>
      </c>
      <c r="E82" s="204">
        <v>347007.5</v>
      </c>
      <c r="F82" s="132">
        <f t="shared" si="12"/>
        <v>-0.056374862214793625</v>
      </c>
      <c r="G82" s="215">
        <f t="shared" si="13"/>
        <v>0.19589678364217436</v>
      </c>
      <c r="H82" s="123"/>
    </row>
    <row r="83" spans="1:8" ht="15.75">
      <c r="A83" s="130"/>
      <c r="B83" s="131">
        <f>DATE(2017,9,1)</f>
        <v>42979</v>
      </c>
      <c r="C83" s="204">
        <v>1667123.5</v>
      </c>
      <c r="D83" s="204">
        <v>332251.5</v>
      </c>
      <c r="E83" s="204">
        <v>308553.5</v>
      </c>
      <c r="F83" s="132">
        <f t="shared" si="12"/>
        <v>0.0768035365017736</v>
      </c>
      <c r="G83" s="215">
        <f t="shared" si="13"/>
        <v>0.1992962728916004</v>
      </c>
      <c r="H83" s="123"/>
    </row>
    <row r="84" spans="1:8" ht="15.75">
      <c r="A84" s="130"/>
      <c r="B84" s="131">
        <f>DATE(2017,10,1)</f>
        <v>43009</v>
      </c>
      <c r="C84" s="204">
        <v>1774605</v>
      </c>
      <c r="D84" s="204">
        <v>339253.5</v>
      </c>
      <c r="E84" s="204">
        <v>366717</v>
      </c>
      <c r="F84" s="132">
        <f t="shared" si="12"/>
        <v>-0.07489017416700071</v>
      </c>
      <c r="G84" s="215">
        <f t="shared" si="13"/>
        <v>0.1911712747343775</v>
      </c>
      <c r="H84" s="123"/>
    </row>
    <row r="85" spans="1:8" ht="15.75">
      <c r="A85" s="130"/>
      <c r="B85" s="131">
        <f>DATE(2017,11,1)</f>
        <v>43040</v>
      </c>
      <c r="C85" s="204">
        <v>1532678.5</v>
      </c>
      <c r="D85" s="204">
        <v>333725</v>
      </c>
      <c r="E85" s="204">
        <v>388040.5</v>
      </c>
      <c r="F85" s="132">
        <f t="shared" si="12"/>
        <v>-0.13997379139548577</v>
      </c>
      <c r="G85" s="215">
        <f t="shared" si="13"/>
        <v>0.217739728194791</v>
      </c>
      <c r="H85" s="123"/>
    </row>
    <row r="86" spans="1:8" ht="15.75">
      <c r="A86" s="130"/>
      <c r="B86" s="131">
        <f>DATE(2017,12,1)</f>
        <v>43070</v>
      </c>
      <c r="C86" s="204">
        <v>1545186.75</v>
      </c>
      <c r="D86" s="204">
        <v>307903.75</v>
      </c>
      <c r="E86" s="204">
        <v>332824</v>
      </c>
      <c r="F86" s="132">
        <f t="shared" si="12"/>
        <v>-0.0748751592433238</v>
      </c>
      <c r="G86" s="215">
        <f t="shared" si="13"/>
        <v>0.19926636699415134</v>
      </c>
      <c r="H86" s="123"/>
    </row>
    <row r="87" spans="1:8" ht="15.75">
      <c r="A87" s="130"/>
      <c r="B87" s="131">
        <f>DATE(2018,1,1)</f>
        <v>43101</v>
      </c>
      <c r="C87" s="204">
        <v>1245691</v>
      </c>
      <c r="D87" s="204">
        <v>242105.5</v>
      </c>
      <c r="E87" s="204">
        <v>315666.5</v>
      </c>
      <c r="F87" s="132">
        <f t="shared" si="12"/>
        <v>-0.23303391395665995</v>
      </c>
      <c r="G87" s="215">
        <f t="shared" si="13"/>
        <v>0.19435437841326622</v>
      </c>
      <c r="H87" s="123"/>
    </row>
    <row r="88" spans="1:8" ht="15.75">
      <c r="A88" s="130"/>
      <c r="B88" s="131">
        <f>DATE(2018,2,1)</f>
        <v>43132</v>
      </c>
      <c r="C88" s="204">
        <v>1262905</v>
      </c>
      <c r="D88" s="204">
        <v>272009.5</v>
      </c>
      <c r="E88" s="204">
        <v>475478</v>
      </c>
      <c r="F88" s="132">
        <f t="shared" si="12"/>
        <v>-0.427924110053462</v>
      </c>
      <c r="G88" s="215">
        <f t="shared" si="13"/>
        <v>0.215383975833495</v>
      </c>
      <c r="H88" s="123"/>
    </row>
    <row r="89" spans="1:8" ht="15.75">
      <c r="A89" s="130"/>
      <c r="B89" s="131">
        <f>DATE(2018,3,1)</f>
        <v>43160</v>
      </c>
      <c r="C89" s="204">
        <v>1602860.5</v>
      </c>
      <c r="D89" s="204">
        <v>265483</v>
      </c>
      <c r="E89" s="204">
        <v>516561</v>
      </c>
      <c r="F89" s="132">
        <f t="shared" si="12"/>
        <v>-0.48605682581534415</v>
      </c>
      <c r="G89" s="215">
        <f t="shared" si="13"/>
        <v>0.1656307582599983</v>
      </c>
      <c r="H89" s="123"/>
    </row>
    <row r="90" spans="1:8" ht="15.75" customHeight="1" thickBot="1">
      <c r="A90" s="130"/>
      <c r="B90" s="131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7">
        <f>SUM(C81:C90)</f>
        <v>14077183.75</v>
      </c>
      <c r="D91" s="261">
        <f>SUM(D81:D90)</f>
        <v>2782778.75</v>
      </c>
      <c r="E91" s="207">
        <f>SUM(E81:E90)</f>
        <v>3491951</v>
      </c>
      <c r="F91" s="269">
        <f>(+D91-E91)/E91</f>
        <v>-0.203087686511065</v>
      </c>
      <c r="G91" s="267">
        <f>D91/C91</f>
        <v>0.19768007574668478</v>
      </c>
      <c r="H91" s="123"/>
    </row>
    <row r="92" spans="1:8" ht="15.75" customHeight="1" thickTop="1">
      <c r="A92" s="130"/>
      <c r="B92" s="139"/>
      <c r="C92" s="205"/>
      <c r="D92" s="205"/>
      <c r="E92" s="205"/>
      <c r="F92" s="140"/>
      <c r="G92" s="216"/>
      <c r="H92" s="123"/>
    </row>
    <row r="93" spans="1:8" ht="15.75">
      <c r="A93" s="130" t="s">
        <v>55</v>
      </c>
      <c r="B93" s="131">
        <f>DATE(2017,7,1)</f>
        <v>42917</v>
      </c>
      <c r="C93" s="204">
        <v>11293642</v>
      </c>
      <c r="D93" s="204">
        <v>2413267.38</v>
      </c>
      <c r="E93" s="204">
        <v>2520439.82</v>
      </c>
      <c r="F93" s="132">
        <f aca="true" t="shared" si="14" ref="F93:F101">(+D93-E93)/E93</f>
        <v>-0.04252132471070067</v>
      </c>
      <c r="G93" s="215">
        <f aca="true" t="shared" si="15" ref="G93:G101">D93/C93</f>
        <v>0.21368371513812814</v>
      </c>
      <c r="H93" s="123"/>
    </row>
    <row r="94" spans="1:8" ht="15.75">
      <c r="A94" s="130"/>
      <c r="B94" s="131">
        <f>DATE(2017,8,1)</f>
        <v>42948</v>
      </c>
      <c r="C94" s="204">
        <v>10516670</v>
      </c>
      <c r="D94" s="204">
        <v>2335423.3</v>
      </c>
      <c r="E94" s="204">
        <v>3004073.54</v>
      </c>
      <c r="F94" s="132">
        <f t="shared" si="14"/>
        <v>-0.22258118221699733</v>
      </c>
      <c r="G94" s="215">
        <f t="shared" si="15"/>
        <v>0.22206870615888868</v>
      </c>
      <c r="H94" s="123"/>
    </row>
    <row r="95" spans="1:8" ht="15.75">
      <c r="A95" s="130"/>
      <c r="B95" s="131">
        <f>DATE(2017,9,1)</f>
        <v>42979</v>
      </c>
      <c r="C95" s="204">
        <v>10643966</v>
      </c>
      <c r="D95" s="204">
        <v>2183188.72</v>
      </c>
      <c r="E95" s="204">
        <v>2555946.89</v>
      </c>
      <c r="F95" s="132">
        <f t="shared" si="14"/>
        <v>-0.1458395600700451</v>
      </c>
      <c r="G95" s="215">
        <f t="shared" si="15"/>
        <v>0.20511045600859681</v>
      </c>
      <c r="H95" s="123"/>
    </row>
    <row r="96" spans="1:8" ht="15.75">
      <c r="A96" s="130"/>
      <c r="B96" s="131">
        <f>DATE(2017,10,1)</f>
        <v>43009</v>
      </c>
      <c r="C96" s="204">
        <v>10167841</v>
      </c>
      <c r="D96" s="204">
        <v>1755251.41</v>
      </c>
      <c r="E96" s="204">
        <v>2421847.85</v>
      </c>
      <c r="F96" s="132">
        <f t="shared" si="14"/>
        <v>-0.2752429059488606</v>
      </c>
      <c r="G96" s="215">
        <f t="shared" si="15"/>
        <v>0.17262773975320816</v>
      </c>
      <c r="H96" s="123"/>
    </row>
    <row r="97" spans="1:8" ht="15.75">
      <c r="A97" s="130"/>
      <c r="B97" s="131">
        <f>DATE(2017,11,1)</f>
        <v>43040</v>
      </c>
      <c r="C97" s="204">
        <v>10221944</v>
      </c>
      <c r="D97" s="204">
        <v>2279764</v>
      </c>
      <c r="E97" s="204">
        <v>2285644.93</v>
      </c>
      <c r="F97" s="132">
        <f t="shared" si="14"/>
        <v>-0.002572984947403955</v>
      </c>
      <c r="G97" s="215">
        <f t="shared" si="15"/>
        <v>0.22302646150282177</v>
      </c>
      <c r="H97" s="123"/>
    </row>
    <row r="98" spans="1:8" ht="15.75">
      <c r="A98" s="130"/>
      <c r="B98" s="131">
        <f>DATE(2017,12,1)</f>
        <v>43070</v>
      </c>
      <c r="C98" s="204">
        <v>11931336</v>
      </c>
      <c r="D98" s="204">
        <v>2519457.53</v>
      </c>
      <c r="E98" s="204">
        <v>2341724.27</v>
      </c>
      <c r="F98" s="132">
        <f t="shared" si="14"/>
        <v>0.07589845750712562</v>
      </c>
      <c r="G98" s="215">
        <f t="shared" si="15"/>
        <v>0.2111630692489089</v>
      </c>
      <c r="H98" s="123"/>
    </row>
    <row r="99" spans="1:8" ht="15.75">
      <c r="A99" s="130"/>
      <c r="B99" s="131">
        <f>DATE(2018,1,1)</f>
        <v>43101</v>
      </c>
      <c r="C99" s="204">
        <v>11128870</v>
      </c>
      <c r="D99" s="204">
        <v>2138515.99</v>
      </c>
      <c r="E99" s="204">
        <v>2074338.56</v>
      </c>
      <c r="F99" s="132">
        <f t="shared" si="14"/>
        <v>0.030938744155631068</v>
      </c>
      <c r="G99" s="215">
        <f t="shared" si="15"/>
        <v>0.19215931087343102</v>
      </c>
      <c r="H99" s="123"/>
    </row>
    <row r="100" spans="1:8" ht="15.75">
      <c r="A100" s="130"/>
      <c r="B100" s="131">
        <f>DATE(2018,2,1)</f>
        <v>43132</v>
      </c>
      <c r="C100" s="204">
        <v>12301005</v>
      </c>
      <c r="D100" s="204">
        <v>2359809.15</v>
      </c>
      <c r="E100" s="204">
        <v>2577455.58</v>
      </c>
      <c r="F100" s="132">
        <f t="shared" si="14"/>
        <v>-0.0844423592355373</v>
      </c>
      <c r="G100" s="215">
        <f t="shared" si="15"/>
        <v>0.19183872781126418</v>
      </c>
      <c r="H100" s="123"/>
    </row>
    <row r="101" spans="1:8" ht="15.75">
      <c r="A101" s="130"/>
      <c r="B101" s="131">
        <f>DATE(2018,3,1)</f>
        <v>43160</v>
      </c>
      <c r="C101" s="204">
        <v>15353479</v>
      </c>
      <c r="D101" s="204">
        <v>2616619.2</v>
      </c>
      <c r="E101" s="204">
        <v>2877055.5</v>
      </c>
      <c r="F101" s="132">
        <f t="shared" si="14"/>
        <v>-0.09052181996489113</v>
      </c>
      <c r="G101" s="215">
        <f t="shared" si="15"/>
        <v>0.1704251655276306</v>
      </c>
      <c r="H101" s="123"/>
    </row>
    <row r="102" spans="1:8" ht="15.75" customHeight="1" thickBot="1">
      <c r="A102" s="130"/>
      <c r="B102" s="131"/>
      <c r="C102" s="204"/>
      <c r="D102" s="204"/>
      <c r="E102" s="204"/>
      <c r="F102" s="132"/>
      <c r="G102" s="215"/>
      <c r="H102" s="123"/>
    </row>
    <row r="103" spans="1:8" ht="17.25" thickBot="1" thickTop="1">
      <c r="A103" s="141" t="s">
        <v>14</v>
      </c>
      <c r="B103" s="142"/>
      <c r="C103" s="206">
        <f>SUM(C93:C102)</f>
        <v>103558753</v>
      </c>
      <c r="D103" s="206">
        <f>SUM(D93:D102)</f>
        <v>20601296.68</v>
      </c>
      <c r="E103" s="206">
        <f>SUM(E93:E102)</f>
        <v>22658526.939999998</v>
      </c>
      <c r="F103" s="143">
        <f>(+D103-E103)/E103</f>
        <v>-0.090792762717875</v>
      </c>
      <c r="G103" s="217">
        <f>D103/C103</f>
        <v>0.19893341782514512</v>
      </c>
      <c r="H103" s="123"/>
    </row>
    <row r="104" spans="1:8" ht="15.75" customHeight="1" thickTop="1">
      <c r="A104" s="138"/>
      <c r="B104" s="139"/>
      <c r="C104" s="205"/>
      <c r="D104" s="205"/>
      <c r="E104" s="205"/>
      <c r="F104" s="140"/>
      <c r="G104" s="216"/>
      <c r="H104" s="123"/>
    </row>
    <row r="105" spans="1:8" ht="15.75">
      <c r="A105" s="130" t="s">
        <v>18</v>
      </c>
      <c r="B105" s="131">
        <f>DATE(2017,7,1)</f>
        <v>42917</v>
      </c>
      <c r="C105" s="204">
        <v>11171474.5</v>
      </c>
      <c r="D105" s="204">
        <v>2350317.5</v>
      </c>
      <c r="E105" s="204">
        <v>2118226.5</v>
      </c>
      <c r="F105" s="132">
        <f aca="true" t="shared" si="16" ref="F105:F113">(+D105-E105)/E105</f>
        <v>0.1095685470840819</v>
      </c>
      <c r="G105" s="215">
        <f aca="true" t="shared" si="17" ref="G105:G113">D105/C105</f>
        <v>0.2103856120335771</v>
      </c>
      <c r="H105" s="123"/>
    </row>
    <row r="106" spans="1:8" ht="15.75">
      <c r="A106" s="130"/>
      <c r="B106" s="131">
        <f>DATE(2017,8,1)</f>
        <v>42948</v>
      </c>
      <c r="C106" s="204">
        <v>11368179</v>
      </c>
      <c r="D106" s="204">
        <v>1942234.5</v>
      </c>
      <c r="E106" s="204">
        <v>2333266.5</v>
      </c>
      <c r="F106" s="132">
        <f t="shared" si="16"/>
        <v>-0.167589943111942</v>
      </c>
      <c r="G106" s="215">
        <f t="shared" si="17"/>
        <v>0.17084833903477417</v>
      </c>
      <c r="H106" s="123"/>
    </row>
    <row r="107" spans="1:8" ht="15.75">
      <c r="A107" s="130"/>
      <c r="B107" s="131">
        <f>DATE(2017,9,1)</f>
        <v>42979</v>
      </c>
      <c r="C107" s="204">
        <v>10900273.26</v>
      </c>
      <c r="D107" s="204">
        <v>2639234.26</v>
      </c>
      <c r="E107" s="204">
        <v>2224408.5</v>
      </c>
      <c r="F107" s="132">
        <f t="shared" si="16"/>
        <v>0.18648812032502113</v>
      </c>
      <c r="G107" s="215">
        <f t="shared" si="17"/>
        <v>0.24212551346625596</v>
      </c>
      <c r="H107" s="123"/>
    </row>
    <row r="108" spans="1:8" ht="15.75">
      <c r="A108" s="130"/>
      <c r="B108" s="131">
        <f>DATE(2017,10,1)</f>
        <v>43009</v>
      </c>
      <c r="C108" s="204">
        <v>11731634</v>
      </c>
      <c r="D108" s="204">
        <v>2495709.5</v>
      </c>
      <c r="E108" s="204">
        <v>2409509.55</v>
      </c>
      <c r="F108" s="132">
        <f t="shared" si="16"/>
        <v>0.03577489452158436</v>
      </c>
      <c r="G108" s="215">
        <f t="shared" si="17"/>
        <v>0.21273332427520328</v>
      </c>
      <c r="H108" s="123"/>
    </row>
    <row r="109" spans="1:8" ht="15.75">
      <c r="A109" s="130"/>
      <c r="B109" s="131">
        <f>DATE(2017,11,1)</f>
        <v>43040</v>
      </c>
      <c r="C109" s="204">
        <v>10822955.5</v>
      </c>
      <c r="D109" s="204">
        <v>2041604</v>
      </c>
      <c r="E109" s="204">
        <v>2793601.5</v>
      </c>
      <c r="F109" s="132">
        <f t="shared" si="16"/>
        <v>-0.26918567304606617</v>
      </c>
      <c r="G109" s="215">
        <f t="shared" si="17"/>
        <v>0.18863645886745076</v>
      </c>
      <c r="H109" s="123"/>
    </row>
    <row r="110" spans="1:8" ht="15.75">
      <c r="A110" s="130"/>
      <c r="B110" s="131">
        <f>DATE(2017,12,1)</f>
        <v>43070</v>
      </c>
      <c r="C110" s="204">
        <v>12526773</v>
      </c>
      <c r="D110" s="204">
        <v>2741297</v>
      </c>
      <c r="E110" s="204">
        <v>3032603.5</v>
      </c>
      <c r="F110" s="132">
        <f t="shared" si="16"/>
        <v>-0.09605822192053791</v>
      </c>
      <c r="G110" s="215">
        <f t="shared" si="17"/>
        <v>0.2188350503357888</v>
      </c>
      <c r="H110" s="123"/>
    </row>
    <row r="111" spans="1:8" ht="15.75">
      <c r="A111" s="130"/>
      <c r="B111" s="131">
        <f>DATE(2018,1,1)</f>
        <v>43101</v>
      </c>
      <c r="C111" s="204">
        <v>11541390</v>
      </c>
      <c r="D111" s="204">
        <v>2741722.5</v>
      </c>
      <c r="E111" s="204">
        <v>2469743</v>
      </c>
      <c r="F111" s="132">
        <f t="shared" si="16"/>
        <v>0.11012461620500595</v>
      </c>
      <c r="G111" s="215">
        <f t="shared" si="17"/>
        <v>0.23755565837390472</v>
      </c>
      <c r="H111" s="123"/>
    </row>
    <row r="112" spans="1:8" ht="15.75">
      <c r="A112" s="130"/>
      <c r="B112" s="131">
        <f>DATE(2018,2,1)</f>
        <v>43132</v>
      </c>
      <c r="C112" s="204">
        <v>11523769</v>
      </c>
      <c r="D112" s="204">
        <v>2377846.5</v>
      </c>
      <c r="E112" s="204">
        <v>2552376</v>
      </c>
      <c r="F112" s="132">
        <f t="shared" si="16"/>
        <v>-0.06837922782536743</v>
      </c>
      <c r="G112" s="215">
        <f t="shared" si="17"/>
        <v>0.2063427772632374</v>
      </c>
      <c r="H112" s="123"/>
    </row>
    <row r="113" spans="1:8" ht="15.75">
      <c r="A113" s="130"/>
      <c r="B113" s="131">
        <f>DATE(2018,3,1)</f>
        <v>43160</v>
      </c>
      <c r="C113" s="204">
        <v>13401185.2</v>
      </c>
      <c r="D113" s="204">
        <v>2485041.2</v>
      </c>
      <c r="E113" s="204">
        <v>2805949.5</v>
      </c>
      <c r="F113" s="132">
        <f t="shared" si="16"/>
        <v>-0.11436709748340083</v>
      </c>
      <c r="G113" s="215">
        <f t="shared" si="17"/>
        <v>0.18543443456031042</v>
      </c>
      <c r="H113" s="123"/>
    </row>
    <row r="114" spans="1:8" ht="15.75" customHeight="1" thickBot="1">
      <c r="A114" s="130"/>
      <c r="B114" s="131"/>
      <c r="C114" s="204"/>
      <c r="D114" s="204"/>
      <c r="E114" s="204"/>
      <c r="F114" s="132"/>
      <c r="G114" s="215"/>
      <c r="H114" s="123"/>
    </row>
    <row r="115" spans="1:8" ht="17.25" thickBot="1" thickTop="1">
      <c r="A115" s="141" t="s">
        <v>14</v>
      </c>
      <c r="B115" s="142"/>
      <c r="C115" s="206">
        <f>SUM(C105:C114)</f>
        <v>104987633.46</v>
      </c>
      <c r="D115" s="206">
        <f>SUM(D105:D114)</f>
        <v>21815006.959999997</v>
      </c>
      <c r="E115" s="206">
        <f>SUM(E105:E114)</f>
        <v>22739684.55</v>
      </c>
      <c r="F115" s="143">
        <f>(+D115-E115)/E115</f>
        <v>-0.040663606742952975</v>
      </c>
      <c r="G115" s="217">
        <f>D115/C115</f>
        <v>0.20778644342251468</v>
      </c>
      <c r="H115" s="123"/>
    </row>
    <row r="116" spans="1:8" ht="15.75" customHeight="1" thickTop="1">
      <c r="A116" s="138"/>
      <c r="B116" s="139"/>
      <c r="C116" s="205"/>
      <c r="D116" s="205"/>
      <c r="E116" s="205"/>
      <c r="F116" s="140"/>
      <c r="G116" s="216"/>
      <c r="H116" s="123"/>
    </row>
    <row r="117" spans="1:8" ht="15.75">
      <c r="A117" s="130" t="s">
        <v>58</v>
      </c>
      <c r="B117" s="131">
        <f>DATE(2017,7,1)</f>
        <v>42917</v>
      </c>
      <c r="C117" s="204">
        <v>12458554</v>
      </c>
      <c r="D117" s="204">
        <v>2354816.66</v>
      </c>
      <c r="E117" s="204">
        <v>1971007.14</v>
      </c>
      <c r="F117" s="132">
        <f aca="true" t="shared" si="18" ref="F117:F125">(+D117-E117)/E117</f>
        <v>0.19472761524344365</v>
      </c>
      <c r="G117" s="215">
        <f aca="true" t="shared" si="19" ref="G117:G125">D117/C117</f>
        <v>0.1890120362282814</v>
      </c>
      <c r="H117" s="123"/>
    </row>
    <row r="118" spans="1:8" ht="15.75">
      <c r="A118" s="130"/>
      <c r="B118" s="131">
        <f>DATE(2017,8,1)</f>
        <v>42948</v>
      </c>
      <c r="C118" s="204">
        <v>11608228</v>
      </c>
      <c r="D118" s="204">
        <v>1981472</v>
      </c>
      <c r="E118" s="204">
        <v>1451474</v>
      </c>
      <c r="F118" s="132">
        <f t="shared" si="18"/>
        <v>0.3651446736214359</v>
      </c>
      <c r="G118" s="215">
        <f t="shared" si="19"/>
        <v>0.17069547565743884</v>
      </c>
      <c r="H118" s="123"/>
    </row>
    <row r="119" spans="1:8" ht="15.75">
      <c r="A119" s="130"/>
      <c r="B119" s="131">
        <f>DATE(2017,9,1)</f>
        <v>42979</v>
      </c>
      <c r="C119" s="204">
        <v>11938179</v>
      </c>
      <c r="D119" s="204">
        <v>2416134</v>
      </c>
      <c r="E119" s="204">
        <v>2289039.96</v>
      </c>
      <c r="F119" s="132">
        <f t="shared" si="18"/>
        <v>0.05552285771367663</v>
      </c>
      <c r="G119" s="215">
        <f t="shared" si="19"/>
        <v>0.2023871479896557</v>
      </c>
      <c r="H119" s="123"/>
    </row>
    <row r="120" spans="1:8" ht="15.75">
      <c r="A120" s="130"/>
      <c r="B120" s="131">
        <f>DATE(2017,10,1)</f>
        <v>43009</v>
      </c>
      <c r="C120" s="204">
        <v>11622187</v>
      </c>
      <c r="D120" s="204">
        <v>2131259.19</v>
      </c>
      <c r="E120" s="204">
        <v>2354728.74</v>
      </c>
      <c r="F120" s="132">
        <f t="shared" si="18"/>
        <v>-0.09490245997507138</v>
      </c>
      <c r="G120" s="215">
        <f t="shared" si="19"/>
        <v>0.18337849752374488</v>
      </c>
      <c r="H120" s="123"/>
    </row>
    <row r="121" spans="1:8" ht="15.75">
      <c r="A121" s="130"/>
      <c r="B121" s="131">
        <f>DATE(2017,11,1)</f>
        <v>43040</v>
      </c>
      <c r="C121" s="204">
        <v>12029157</v>
      </c>
      <c r="D121" s="204">
        <v>2312922.92</v>
      </c>
      <c r="E121" s="204">
        <v>1761255.13</v>
      </c>
      <c r="F121" s="132">
        <f t="shared" si="18"/>
        <v>0.3132242345832089</v>
      </c>
      <c r="G121" s="215">
        <f t="shared" si="19"/>
        <v>0.19227639310053066</v>
      </c>
      <c r="H121" s="123"/>
    </row>
    <row r="122" spans="1:8" ht="15.75">
      <c r="A122" s="130"/>
      <c r="B122" s="131">
        <f>DATE(2017,12,1)</f>
        <v>43070</v>
      </c>
      <c r="C122" s="204">
        <v>12735350</v>
      </c>
      <c r="D122" s="204">
        <v>2152521.25</v>
      </c>
      <c r="E122" s="204">
        <v>2578864.5</v>
      </c>
      <c r="F122" s="132">
        <f t="shared" si="18"/>
        <v>-0.16532208264528828</v>
      </c>
      <c r="G122" s="215">
        <f t="shared" si="19"/>
        <v>0.16901940268622379</v>
      </c>
      <c r="H122" s="123"/>
    </row>
    <row r="123" spans="1:8" ht="15.75">
      <c r="A123" s="130"/>
      <c r="B123" s="131">
        <f>DATE(2018,1,1)</f>
        <v>43101</v>
      </c>
      <c r="C123" s="204">
        <v>11287886</v>
      </c>
      <c r="D123" s="204">
        <v>2163065</v>
      </c>
      <c r="E123" s="204">
        <v>2364002.4</v>
      </c>
      <c r="F123" s="132">
        <f t="shared" si="18"/>
        <v>-0.08499881387599265</v>
      </c>
      <c r="G123" s="215">
        <f t="shared" si="19"/>
        <v>0.19162711246375097</v>
      </c>
      <c r="H123" s="123"/>
    </row>
    <row r="124" spans="1:8" ht="15.75">
      <c r="A124" s="130"/>
      <c r="B124" s="131">
        <f>DATE(2018,2,1)</f>
        <v>43132</v>
      </c>
      <c r="C124" s="204">
        <v>11151697</v>
      </c>
      <c r="D124" s="204">
        <v>2130295.34</v>
      </c>
      <c r="E124" s="204">
        <v>2194225.21</v>
      </c>
      <c r="F124" s="132">
        <f t="shared" si="18"/>
        <v>-0.0291355097501592</v>
      </c>
      <c r="G124" s="215">
        <f t="shared" si="19"/>
        <v>0.19102880395692243</v>
      </c>
      <c r="H124" s="123"/>
    </row>
    <row r="125" spans="1:8" ht="15.75">
      <c r="A125" s="130"/>
      <c r="B125" s="131">
        <f>DATE(2018,3,1)</f>
        <v>43160</v>
      </c>
      <c r="C125" s="204">
        <v>13637400</v>
      </c>
      <c r="D125" s="204">
        <v>2819225.15</v>
      </c>
      <c r="E125" s="204">
        <v>2718171.36</v>
      </c>
      <c r="F125" s="132">
        <f t="shared" si="18"/>
        <v>0.03717712263733072</v>
      </c>
      <c r="G125" s="215">
        <f t="shared" si="19"/>
        <v>0.20672746637922185</v>
      </c>
      <c r="H125" s="123"/>
    </row>
    <row r="126" spans="1:8" ht="15.75" thickBot="1">
      <c r="A126" s="133"/>
      <c r="B126" s="131"/>
      <c r="C126" s="204"/>
      <c r="D126" s="204"/>
      <c r="E126" s="204"/>
      <c r="F126" s="132"/>
      <c r="G126" s="215"/>
      <c r="H126" s="123"/>
    </row>
    <row r="127" spans="1:8" ht="17.25" thickBot="1" thickTop="1">
      <c r="A127" s="141" t="s">
        <v>14</v>
      </c>
      <c r="B127" s="142"/>
      <c r="C127" s="207">
        <f>SUM(C117:C126)</f>
        <v>108468638</v>
      </c>
      <c r="D127" s="207">
        <f>SUM(D117:D126)</f>
        <v>20461711.509999998</v>
      </c>
      <c r="E127" s="207">
        <f>SUM(E117:E126)</f>
        <v>19682768.439999998</v>
      </c>
      <c r="F127" s="143">
        <f>(+D127-E127)/E127</f>
        <v>0.03957487344193947</v>
      </c>
      <c r="G127" s="267">
        <f>D127/C127</f>
        <v>0.18864172987956204</v>
      </c>
      <c r="H127" s="123"/>
    </row>
    <row r="128" spans="1:8" ht="15.75" customHeight="1" thickTop="1">
      <c r="A128" s="138"/>
      <c r="B128" s="139"/>
      <c r="C128" s="205"/>
      <c r="D128" s="205"/>
      <c r="E128" s="205"/>
      <c r="F128" s="140"/>
      <c r="G128" s="219"/>
      <c r="H128" s="123"/>
    </row>
    <row r="129" spans="1:8" ht="15.75">
      <c r="A129" s="130" t="s">
        <v>59</v>
      </c>
      <c r="B129" s="131">
        <f>DATE(2017,7,1)</f>
        <v>42917</v>
      </c>
      <c r="C129" s="204">
        <v>808349</v>
      </c>
      <c r="D129" s="204">
        <v>185261.5</v>
      </c>
      <c r="E129" s="204">
        <v>206069.5</v>
      </c>
      <c r="F129" s="132">
        <f aca="true" t="shared" si="20" ref="F129:F137">(+D129-E129)/E129</f>
        <v>-0.10097564171311135</v>
      </c>
      <c r="G129" s="215">
        <f aca="true" t="shared" si="21" ref="G129:G137">D129/C129</f>
        <v>0.22918504259917435</v>
      </c>
      <c r="H129" s="123"/>
    </row>
    <row r="130" spans="1:8" ht="15.75">
      <c r="A130" s="130"/>
      <c r="B130" s="131">
        <f>DATE(2017,8,1)</f>
        <v>42948</v>
      </c>
      <c r="C130" s="204">
        <v>727832</v>
      </c>
      <c r="D130" s="204">
        <v>131840.5</v>
      </c>
      <c r="E130" s="204">
        <v>195328</v>
      </c>
      <c r="F130" s="132">
        <f t="shared" si="20"/>
        <v>-0.32503020560288337</v>
      </c>
      <c r="G130" s="215">
        <f t="shared" si="21"/>
        <v>0.1811413897712659</v>
      </c>
      <c r="H130" s="123"/>
    </row>
    <row r="131" spans="1:8" ht="15.75">
      <c r="A131" s="130"/>
      <c r="B131" s="131">
        <f>DATE(2017,9,1)</f>
        <v>42979</v>
      </c>
      <c r="C131" s="204">
        <v>793144</v>
      </c>
      <c r="D131" s="204">
        <v>130165.5</v>
      </c>
      <c r="E131" s="204">
        <v>178936.5</v>
      </c>
      <c r="F131" s="132">
        <f t="shared" si="20"/>
        <v>-0.27256037756410795</v>
      </c>
      <c r="G131" s="215">
        <f t="shared" si="21"/>
        <v>0.16411332620558183</v>
      </c>
      <c r="H131" s="123"/>
    </row>
    <row r="132" spans="1:8" ht="15.75">
      <c r="A132" s="130"/>
      <c r="B132" s="131">
        <f>DATE(2017,10,1)</f>
        <v>43009</v>
      </c>
      <c r="C132" s="204">
        <v>734138</v>
      </c>
      <c r="D132" s="204">
        <v>213032.5</v>
      </c>
      <c r="E132" s="204">
        <v>164860</v>
      </c>
      <c r="F132" s="132">
        <f t="shared" si="20"/>
        <v>0.292202474827126</v>
      </c>
      <c r="G132" s="215">
        <f t="shared" si="21"/>
        <v>0.2901804565354198</v>
      </c>
      <c r="H132" s="123"/>
    </row>
    <row r="133" spans="1:8" ht="15.75">
      <c r="A133" s="130"/>
      <c r="B133" s="131">
        <f>DATE(2017,11,1)</f>
        <v>43040</v>
      </c>
      <c r="C133" s="204">
        <v>620250</v>
      </c>
      <c r="D133" s="204">
        <v>120661.5</v>
      </c>
      <c r="E133" s="204">
        <v>89576</v>
      </c>
      <c r="F133" s="132">
        <f t="shared" si="20"/>
        <v>0.34702933821559345</v>
      </c>
      <c r="G133" s="215">
        <f t="shared" si="21"/>
        <v>0.19453688029020555</v>
      </c>
      <c r="H133" s="123"/>
    </row>
    <row r="134" spans="1:8" ht="15.75">
      <c r="A134" s="130"/>
      <c r="B134" s="131">
        <f>DATE(2017,12,1)</f>
        <v>43070</v>
      </c>
      <c r="C134" s="204">
        <v>677843</v>
      </c>
      <c r="D134" s="204">
        <v>179648.5</v>
      </c>
      <c r="E134" s="204">
        <v>212853</v>
      </c>
      <c r="F134" s="132">
        <f t="shared" si="20"/>
        <v>-0.15599733149168676</v>
      </c>
      <c r="G134" s="215">
        <f t="shared" si="21"/>
        <v>0.2650296602605618</v>
      </c>
      <c r="H134" s="123"/>
    </row>
    <row r="135" spans="1:8" ht="15.75">
      <c r="A135" s="130"/>
      <c r="B135" s="131">
        <f>DATE(2018,1,1)</f>
        <v>43101</v>
      </c>
      <c r="C135" s="204">
        <v>607267</v>
      </c>
      <c r="D135" s="204">
        <v>161078</v>
      </c>
      <c r="E135" s="204">
        <v>204097</v>
      </c>
      <c r="F135" s="132">
        <f t="shared" si="20"/>
        <v>-0.21077722847469585</v>
      </c>
      <c r="G135" s="215">
        <f t="shared" si="21"/>
        <v>0.2652507052087467</v>
      </c>
      <c r="H135" s="123"/>
    </row>
    <row r="136" spans="1:8" ht="15.75">
      <c r="A136" s="130"/>
      <c r="B136" s="131">
        <f>DATE(2018,2,1)</f>
        <v>43132</v>
      </c>
      <c r="C136" s="204">
        <v>663220</v>
      </c>
      <c r="D136" s="204">
        <v>179952.5</v>
      </c>
      <c r="E136" s="204">
        <v>169150</v>
      </c>
      <c r="F136" s="132">
        <f t="shared" si="20"/>
        <v>0.06386343482116465</v>
      </c>
      <c r="G136" s="215">
        <f t="shared" si="21"/>
        <v>0.27133153403093996</v>
      </c>
      <c r="H136" s="123"/>
    </row>
    <row r="137" spans="1:8" ht="15.75">
      <c r="A137" s="130"/>
      <c r="B137" s="131">
        <f>DATE(2018,3,1)</f>
        <v>43160</v>
      </c>
      <c r="C137" s="204">
        <v>801272</v>
      </c>
      <c r="D137" s="204">
        <v>201152</v>
      </c>
      <c r="E137" s="204">
        <v>213859</v>
      </c>
      <c r="F137" s="132">
        <f t="shared" si="20"/>
        <v>-0.059417653687710126</v>
      </c>
      <c r="G137" s="215">
        <f t="shared" si="21"/>
        <v>0.2510408450563604</v>
      </c>
      <c r="H137" s="123"/>
    </row>
    <row r="138" spans="1:8" ht="15.75" thickBot="1">
      <c r="A138" s="133"/>
      <c r="B138" s="134"/>
      <c r="C138" s="204"/>
      <c r="D138" s="204"/>
      <c r="E138" s="204"/>
      <c r="F138" s="132"/>
      <c r="G138" s="215"/>
      <c r="H138" s="123"/>
    </row>
    <row r="139" spans="1:8" ht="17.25" thickBot="1" thickTop="1">
      <c r="A139" s="144" t="s">
        <v>14</v>
      </c>
      <c r="B139" s="145"/>
      <c r="C139" s="207">
        <f>SUM(C129:C138)</f>
        <v>6433315</v>
      </c>
      <c r="D139" s="207">
        <f>SUM(D129:D138)</f>
        <v>1502792.5</v>
      </c>
      <c r="E139" s="207">
        <f>SUM(E129:E138)</f>
        <v>1634729</v>
      </c>
      <c r="F139" s="143">
        <f>(+D139-E139)/E139</f>
        <v>-0.08070848440322524</v>
      </c>
      <c r="G139" s="217">
        <f>D139/C139</f>
        <v>0.23359535480541524</v>
      </c>
      <c r="H139" s="123"/>
    </row>
    <row r="140" spans="1:8" ht="15.75" customHeight="1" thickTop="1">
      <c r="A140" s="130"/>
      <c r="B140" s="134"/>
      <c r="C140" s="204"/>
      <c r="D140" s="204"/>
      <c r="E140" s="204"/>
      <c r="F140" s="132"/>
      <c r="G140" s="218"/>
      <c r="H140" s="123"/>
    </row>
    <row r="141" spans="1:8" ht="15.75">
      <c r="A141" s="130" t="s">
        <v>40</v>
      </c>
      <c r="B141" s="131">
        <f>DATE(2017,7,1)</f>
        <v>42917</v>
      </c>
      <c r="C141" s="204">
        <v>15476448</v>
      </c>
      <c r="D141" s="204">
        <v>3485005.33</v>
      </c>
      <c r="E141" s="204">
        <v>3555002.5</v>
      </c>
      <c r="F141" s="132">
        <f aca="true" t="shared" si="22" ref="F141:F149">(+D141-E141)/E141</f>
        <v>-0.019689766744186515</v>
      </c>
      <c r="G141" s="215">
        <f aca="true" t="shared" si="23" ref="G141:G149">D141/C141</f>
        <v>0.22518121276923492</v>
      </c>
      <c r="H141" s="123"/>
    </row>
    <row r="142" spans="1:8" ht="15.75">
      <c r="A142" s="130"/>
      <c r="B142" s="131">
        <f>DATE(2017,8,1)</f>
        <v>42948</v>
      </c>
      <c r="C142" s="204">
        <v>14484713</v>
      </c>
      <c r="D142" s="204">
        <v>2756152.9</v>
      </c>
      <c r="E142" s="204">
        <v>2648098.2</v>
      </c>
      <c r="F142" s="132">
        <f t="shared" si="22"/>
        <v>0.04080464236560401</v>
      </c>
      <c r="G142" s="215">
        <f t="shared" si="23"/>
        <v>0.19028011808035133</v>
      </c>
      <c r="H142" s="123"/>
    </row>
    <row r="143" spans="1:8" ht="15.75">
      <c r="A143" s="130"/>
      <c r="B143" s="131">
        <f>DATE(2017,9,1)</f>
        <v>42979</v>
      </c>
      <c r="C143" s="204">
        <v>16041731</v>
      </c>
      <c r="D143" s="204">
        <v>3555670.84</v>
      </c>
      <c r="E143" s="204">
        <v>2901818.1</v>
      </c>
      <c r="F143" s="132">
        <f t="shared" si="22"/>
        <v>0.22532519870904374</v>
      </c>
      <c r="G143" s="215">
        <f t="shared" si="23"/>
        <v>0.22165131929964416</v>
      </c>
      <c r="H143" s="123"/>
    </row>
    <row r="144" spans="1:8" ht="15.75">
      <c r="A144" s="130"/>
      <c r="B144" s="131">
        <f>DATE(2017,10,1)</f>
        <v>43009</v>
      </c>
      <c r="C144" s="204">
        <v>15374937</v>
      </c>
      <c r="D144" s="204">
        <v>3109647.95</v>
      </c>
      <c r="E144" s="204">
        <v>2903466</v>
      </c>
      <c r="F144" s="132">
        <f t="shared" si="22"/>
        <v>0.07101235213362243</v>
      </c>
      <c r="G144" s="215">
        <f t="shared" si="23"/>
        <v>0.20225435395279995</v>
      </c>
      <c r="H144" s="123"/>
    </row>
    <row r="145" spans="1:8" ht="15.75">
      <c r="A145" s="130"/>
      <c r="B145" s="131">
        <f>DATE(2017,11,1)</f>
        <v>43040</v>
      </c>
      <c r="C145" s="204">
        <v>16405899</v>
      </c>
      <c r="D145" s="204">
        <v>3185542.02</v>
      </c>
      <c r="E145" s="204">
        <v>2588813.5</v>
      </c>
      <c r="F145" s="132">
        <f t="shared" si="22"/>
        <v>0.23050270712818827</v>
      </c>
      <c r="G145" s="215">
        <f t="shared" si="23"/>
        <v>0.19417052488254377</v>
      </c>
      <c r="H145" s="123"/>
    </row>
    <row r="146" spans="1:8" ht="15.75">
      <c r="A146" s="130"/>
      <c r="B146" s="131">
        <f>DATE(2017,12,1)</f>
        <v>43070</v>
      </c>
      <c r="C146" s="204">
        <v>19127338.5</v>
      </c>
      <c r="D146" s="204">
        <v>3702278.99</v>
      </c>
      <c r="E146" s="204">
        <v>3285950.5</v>
      </c>
      <c r="F146" s="132">
        <f t="shared" si="22"/>
        <v>0.1266995622727732</v>
      </c>
      <c r="G146" s="215">
        <f t="shared" si="23"/>
        <v>0.19355954776457793</v>
      </c>
      <c r="H146" s="123"/>
    </row>
    <row r="147" spans="1:8" ht="15.75">
      <c r="A147" s="130"/>
      <c r="B147" s="131">
        <f>DATE(2018,1,1)</f>
        <v>43101</v>
      </c>
      <c r="C147" s="204">
        <v>14790104</v>
      </c>
      <c r="D147" s="204">
        <v>3099858.41</v>
      </c>
      <c r="E147" s="204">
        <v>2957103</v>
      </c>
      <c r="F147" s="132">
        <f t="shared" si="22"/>
        <v>0.04827542699730113</v>
      </c>
      <c r="G147" s="215">
        <f t="shared" si="23"/>
        <v>0.2095900346610139</v>
      </c>
      <c r="H147" s="123"/>
    </row>
    <row r="148" spans="1:8" ht="15.75">
      <c r="A148" s="130"/>
      <c r="B148" s="131">
        <f>DATE(2018,2,1)</f>
        <v>43132</v>
      </c>
      <c r="C148" s="204">
        <v>15666403</v>
      </c>
      <c r="D148" s="204">
        <v>2392361.25</v>
      </c>
      <c r="E148" s="204">
        <v>2697136.5</v>
      </c>
      <c r="F148" s="132">
        <f t="shared" si="22"/>
        <v>-0.11299956453816853</v>
      </c>
      <c r="G148" s="215">
        <f t="shared" si="23"/>
        <v>0.15270647959202888</v>
      </c>
      <c r="H148" s="123"/>
    </row>
    <row r="149" spans="1:8" ht="15.75">
      <c r="A149" s="130"/>
      <c r="B149" s="131">
        <f>DATE(2018,3,1)</f>
        <v>43160</v>
      </c>
      <c r="C149" s="204">
        <v>17915704</v>
      </c>
      <c r="D149" s="204">
        <v>3826628.2</v>
      </c>
      <c r="E149" s="204">
        <v>3818986.1</v>
      </c>
      <c r="F149" s="132">
        <f t="shared" si="22"/>
        <v>0.0020010808627976134</v>
      </c>
      <c r="G149" s="215">
        <f t="shared" si="23"/>
        <v>0.2135907246514008</v>
      </c>
      <c r="H149" s="123"/>
    </row>
    <row r="150" spans="1:8" ht="15.75" thickBot="1">
      <c r="A150" s="133"/>
      <c r="B150" s="134"/>
      <c r="C150" s="204"/>
      <c r="D150" s="204"/>
      <c r="E150" s="204"/>
      <c r="F150" s="132"/>
      <c r="G150" s="215"/>
      <c r="H150" s="123"/>
    </row>
    <row r="151" spans="1:8" ht="17.25" thickBot="1" thickTop="1">
      <c r="A151" s="141" t="s">
        <v>14</v>
      </c>
      <c r="B151" s="142"/>
      <c r="C151" s="206">
        <f>SUM(C141:C150)</f>
        <v>145283277.5</v>
      </c>
      <c r="D151" s="207">
        <f>SUM(D141:D150)</f>
        <v>29113145.89</v>
      </c>
      <c r="E151" s="206">
        <f>SUM(E141:E150)</f>
        <v>27356374.400000002</v>
      </c>
      <c r="F151" s="143">
        <f>(+D151-E151)/E151</f>
        <v>0.06421799410670437</v>
      </c>
      <c r="G151" s="217">
        <f>D151/C151</f>
        <v>0.20038882926495102</v>
      </c>
      <c r="H151" s="123"/>
    </row>
    <row r="152" spans="1:8" ht="15.75" customHeight="1" thickTop="1">
      <c r="A152" s="130"/>
      <c r="B152" s="134"/>
      <c r="C152" s="204"/>
      <c r="D152" s="204"/>
      <c r="E152" s="204"/>
      <c r="F152" s="132"/>
      <c r="G152" s="218"/>
      <c r="H152" s="123"/>
    </row>
    <row r="153" spans="1:8" ht="15.75">
      <c r="A153" s="130" t="s">
        <v>64</v>
      </c>
      <c r="B153" s="131">
        <f>DATE(2017,7,1)</f>
        <v>42917</v>
      </c>
      <c r="C153" s="204">
        <v>829717</v>
      </c>
      <c r="D153" s="204">
        <v>283672</v>
      </c>
      <c r="E153" s="204">
        <v>188854</v>
      </c>
      <c r="F153" s="132">
        <f aca="true" t="shared" si="24" ref="F153:F161">(+D153-E153)/E153</f>
        <v>0.5020703824118102</v>
      </c>
      <c r="G153" s="215">
        <f aca="true" t="shared" si="25" ref="G153:G161">D153/C153</f>
        <v>0.341890066130982</v>
      </c>
      <c r="H153" s="123"/>
    </row>
    <row r="154" spans="1:8" ht="15.75">
      <c r="A154" s="130"/>
      <c r="B154" s="131">
        <f>DATE(2017,8,1)</f>
        <v>42948</v>
      </c>
      <c r="C154" s="204">
        <v>771356</v>
      </c>
      <c r="D154" s="204">
        <v>213515</v>
      </c>
      <c r="E154" s="204">
        <v>216171</v>
      </c>
      <c r="F154" s="132">
        <f t="shared" si="24"/>
        <v>-0.012286569428831804</v>
      </c>
      <c r="G154" s="215">
        <f t="shared" si="25"/>
        <v>0.27680474385368103</v>
      </c>
      <c r="H154" s="123"/>
    </row>
    <row r="155" spans="1:8" ht="15.75">
      <c r="A155" s="130"/>
      <c r="B155" s="131">
        <f>DATE(2017,9,1)</f>
        <v>42979</v>
      </c>
      <c r="C155" s="204">
        <v>789203</v>
      </c>
      <c r="D155" s="204">
        <v>213772.5</v>
      </c>
      <c r="E155" s="204">
        <v>216945.5</v>
      </c>
      <c r="F155" s="132">
        <f t="shared" si="24"/>
        <v>-0.014625793113938754</v>
      </c>
      <c r="G155" s="215">
        <f t="shared" si="25"/>
        <v>0.27087137276467527</v>
      </c>
      <c r="H155" s="123"/>
    </row>
    <row r="156" spans="1:8" ht="15.75">
      <c r="A156" s="130"/>
      <c r="B156" s="131">
        <f>DATE(2017,10,1)</f>
        <v>43009</v>
      </c>
      <c r="C156" s="204">
        <v>704934</v>
      </c>
      <c r="D156" s="204">
        <v>244828.5</v>
      </c>
      <c r="E156" s="204">
        <v>242110</v>
      </c>
      <c r="F156" s="132">
        <f t="shared" si="24"/>
        <v>0.01122836727107513</v>
      </c>
      <c r="G156" s="215">
        <f t="shared" si="25"/>
        <v>0.34730698193022325</v>
      </c>
      <c r="H156" s="123"/>
    </row>
    <row r="157" spans="1:8" ht="15.75">
      <c r="A157" s="130"/>
      <c r="B157" s="131">
        <f>DATE(2017,11,1)</f>
        <v>43040</v>
      </c>
      <c r="C157" s="204">
        <v>788141</v>
      </c>
      <c r="D157" s="204">
        <v>214514.5</v>
      </c>
      <c r="E157" s="204">
        <v>207292.5</v>
      </c>
      <c r="F157" s="132">
        <f t="shared" si="24"/>
        <v>0.03483965893604448</v>
      </c>
      <c r="G157" s="215">
        <f t="shared" si="25"/>
        <v>0.2721778209736583</v>
      </c>
      <c r="H157" s="123"/>
    </row>
    <row r="158" spans="1:8" ht="15.75">
      <c r="A158" s="130"/>
      <c r="B158" s="131">
        <f>DATE(2017,12,1)</f>
        <v>43070</v>
      </c>
      <c r="C158" s="204">
        <v>804570</v>
      </c>
      <c r="D158" s="204">
        <v>251086</v>
      </c>
      <c r="E158" s="204">
        <v>269196.5</v>
      </c>
      <c r="F158" s="132">
        <f t="shared" si="24"/>
        <v>-0.06727613471943357</v>
      </c>
      <c r="G158" s="215">
        <f t="shared" si="25"/>
        <v>0.31207477286003704</v>
      </c>
      <c r="H158" s="123"/>
    </row>
    <row r="159" spans="1:8" ht="15.75">
      <c r="A159" s="130"/>
      <c r="B159" s="131">
        <f>DATE(2018,1,1)</f>
        <v>43101</v>
      </c>
      <c r="C159" s="204">
        <v>695465</v>
      </c>
      <c r="D159" s="204">
        <v>161802.5</v>
      </c>
      <c r="E159" s="204">
        <v>196525</v>
      </c>
      <c r="F159" s="132">
        <f t="shared" si="24"/>
        <v>-0.1766823559343595</v>
      </c>
      <c r="G159" s="215">
        <f t="shared" si="25"/>
        <v>0.2326536921340398</v>
      </c>
      <c r="H159" s="123"/>
    </row>
    <row r="160" spans="1:8" ht="15.75">
      <c r="A160" s="130"/>
      <c r="B160" s="131">
        <f>DATE(2018,2,1)</f>
        <v>43132</v>
      </c>
      <c r="C160" s="204">
        <v>679361</v>
      </c>
      <c r="D160" s="204">
        <v>227252.5</v>
      </c>
      <c r="E160" s="204">
        <v>215365.5</v>
      </c>
      <c r="F160" s="132">
        <f t="shared" si="24"/>
        <v>0.055194541372689684</v>
      </c>
      <c r="G160" s="215">
        <f t="shared" si="25"/>
        <v>0.3345091931977255</v>
      </c>
      <c r="H160" s="123"/>
    </row>
    <row r="161" spans="1:8" ht="15.75">
      <c r="A161" s="130"/>
      <c r="B161" s="131">
        <f>DATE(2018,3,1)</f>
        <v>43160</v>
      </c>
      <c r="C161" s="204">
        <v>873129</v>
      </c>
      <c r="D161" s="204">
        <v>241108.5</v>
      </c>
      <c r="E161" s="204">
        <v>293319.5</v>
      </c>
      <c r="F161" s="132">
        <f t="shared" si="24"/>
        <v>-0.17800043979346752</v>
      </c>
      <c r="G161" s="215">
        <f t="shared" si="25"/>
        <v>0.2761430441549874</v>
      </c>
      <c r="H161" s="123"/>
    </row>
    <row r="162" spans="1:8" ht="15.75" thickBot="1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Bot="1" thickTop="1">
      <c r="A163" s="135" t="s">
        <v>14</v>
      </c>
      <c r="B163" s="136"/>
      <c r="C163" s="201">
        <f>SUM(C153:C162)</f>
        <v>6935876</v>
      </c>
      <c r="D163" s="207">
        <f>SUM(D153:D162)</f>
        <v>2051552</v>
      </c>
      <c r="E163" s="207">
        <f>SUM(E153:E162)</f>
        <v>2045779.5</v>
      </c>
      <c r="F163" s="143">
        <f>(+D163-E163)/E163</f>
        <v>0.002821662842940796</v>
      </c>
      <c r="G163" s="217">
        <f>D163/C163</f>
        <v>0.29578844835172946</v>
      </c>
      <c r="H163" s="123"/>
    </row>
    <row r="164" spans="1:8" ht="16.5" thickBot="1" thickTop="1">
      <c r="A164" s="146"/>
      <c r="B164" s="139"/>
      <c r="C164" s="205"/>
      <c r="D164" s="205"/>
      <c r="E164" s="205"/>
      <c r="F164" s="140"/>
      <c r="G164" s="216"/>
      <c r="H164" s="123"/>
    </row>
    <row r="165" spans="1:8" ht="17.25" thickBot="1" thickTop="1">
      <c r="A165" s="147" t="s">
        <v>41</v>
      </c>
      <c r="B165" s="121"/>
      <c r="C165" s="201">
        <f>C163+C151+C115+C91+C67+C43+C19+C55+C139+C31+C103+C127+C79</f>
        <v>908576827.51</v>
      </c>
      <c r="D165" s="201">
        <f>D163+D151+D115+D91+D67+D43+D19+D55+D139+D31+D103+D127+D79</f>
        <v>187406020.39</v>
      </c>
      <c r="E165" s="201">
        <f>E163+E151+E115+E91+E67+E43+E19+E55+E139+E31+E103+E127+E79</f>
        <v>183331084.16000003</v>
      </c>
      <c r="F165" s="137">
        <f>(+D165-E165)/E165</f>
        <v>0.022227197579018337</v>
      </c>
      <c r="G165" s="212">
        <f>D165/C165</f>
        <v>0.20626326218729957</v>
      </c>
      <c r="H165" s="123"/>
    </row>
    <row r="166" spans="1:8" ht="17.25" thickBot="1" thickTop="1">
      <c r="A166" s="147"/>
      <c r="B166" s="121"/>
      <c r="C166" s="201"/>
      <c r="D166" s="201"/>
      <c r="E166" s="201"/>
      <c r="F166" s="137"/>
      <c r="G166" s="212"/>
      <c r="H166" s="123"/>
    </row>
    <row r="167" spans="1:8" ht="17.25" thickBot="1" thickTop="1">
      <c r="A167" s="265" t="s">
        <v>42</v>
      </c>
      <c r="B167" s="266"/>
      <c r="C167" s="206">
        <f>+C17+C29+C41+C53+C65+C77+C89+C101+C113+C125+C137+C149+C161</f>
        <v>115365897.73</v>
      </c>
      <c r="D167" s="206">
        <f>+D17+D29+D41+D53+D65+D77+D89+D101+D113+D125+D137+D149+D161</f>
        <v>22933197.439999998</v>
      </c>
      <c r="E167" s="206">
        <f>+E17+E29+E41+E53+E65+E77+E89+E101+E113+E125+E137+E149+E161</f>
        <v>24529589.740000002</v>
      </c>
      <c r="F167" s="143">
        <f>(+D167-E167)/E167</f>
        <v>-0.065080269051414</v>
      </c>
      <c r="G167" s="217">
        <f>D167/C167</f>
        <v>0.19878662491469</v>
      </c>
      <c r="H167" s="123"/>
    </row>
    <row r="168" spans="1:8" ht="16.5" thickTop="1">
      <c r="A168" s="256"/>
      <c r="B168" s="258"/>
      <c r="C168" s="259"/>
      <c r="D168" s="259"/>
      <c r="E168" s="259"/>
      <c r="F168" s="260"/>
      <c r="G168" s="257"/>
      <c r="H168" s="257"/>
    </row>
    <row r="169" spans="1:7" ht="18.75">
      <c r="A169" s="263" t="s">
        <v>43</v>
      </c>
      <c r="B169" s="117"/>
      <c r="C169" s="208"/>
      <c r="D169" s="208"/>
      <c r="E169" s="208"/>
      <c r="F169" s="148"/>
      <c r="G169" s="220"/>
    </row>
    <row r="170" ht="15.75">
      <c r="A170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3" manualBreakCount="3">
    <brk id="55" max="7" man="1"/>
    <brk id="103" max="7" man="1"/>
    <brk id="15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2"/>
  <sheetViews>
    <sheetView tabSelected="1" showOutlineSymbols="0" view="pageBreakPreview" zoomScaleSheetLayoutView="100" zoomScalePageLayoutView="0" workbookViewId="0" topLeftCell="A127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 aca="true" t="shared" si="0" ref="F10:F18">(+D10-E10)/E10</f>
        <v>-0.02828805276629082</v>
      </c>
      <c r="G10" s="241">
        <f aca="true" t="shared" si="1" ref="G10:G18">D10/C10</f>
        <v>0.09687023279842813</v>
      </c>
      <c r="H10" s="242">
        <f aca="true" t="shared" si="2" ref="H10:H18"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116499333.11</v>
      </c>
      <c r="D11" s="226">
        <v>11441719.54</v>
      </c>
      <c r="E11" s="226">
        <v>11027150.02</v>
      </c>
      <c r="F11" s="166">
        <f t="shared" si="0"/>
        <v>0.03759534596410611</v>
      </c>
      <c r="G11" s="241">
        <f t="shared" si="1"/>
        <v>0.09821274709956147</v>
      </c>
      <c r="H11" s="242">
        <f t="shared" si="2"/>
        <v>0.9017872529004385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 t="shared" si="0"/>
        <v>0.06125613160626111</v>
      </c>
      <c r="G12" s="241">
        <f t="shared" si="1"/>
        <v>0.09722830244420509</v>
      </c>
      <c r="H12" s="242">
        <f t="shared" si="2"/>
        <v>0.9027716975557949</v>
      </c>
      <c r="I12" s="157"/>
    </row>
    <row r="13" spans="1:9" ht="15.75">
      <c r="A13" s="164"/>
      <c r="B13" s="165">
        <f>DATE(17,10,1)</f>
        <v>6484</v>
      </c>
      <c r="C13" s="226">
        <v>115537297.52</v>
      </c>
      <c r="D13" s="226">
        <v>11558139.69</v>
      </c>
      <c r="E13" s="226">
        <v>11426198.17</v>
      </c>
      <c r="F13" s="166">
        <f t="shared" si="0"/>
        <v>0.011547280909797099</v>
      </c>
      <c r="G13" s="241">
        <f t="shared" si="1"/>
        <v>0.10003816895578016</v>
      </c>
      <c r="H13" s="242">
        <f t="shared" si="2"/>
        <v>0.8999618310442199</v>
      </c>
      <c r="I13" s="157"/>
    </row>
    <row r="14" spans="1:9" ht="15.75">
      <c r="A14" s="164"/>
      <c r="B14" s="165">
        <f>DATE(17,11,1)</f>
        <v>6515</v>
      </c>
      <c r="C14" s="226">
        <v>117762640.69</v>
      </c>
      <c r="D14" s="226">
        <v>11896579.67</v>
      </c>
      <c r="E14" s="226">
        <v>10749508.49</v>
      </c>
      <c r="F14" s="166">
        <f t="shared" si="0"/>
        <v>0.106709174755952</v>
      </c>
      <c r="G14" s="241">
        <f t="shared" si="1"/>
        <v>0.1010216788643244</v>
      </c>
      <c r="H14" s="242">
        <f t="shared" si="2"/>
        <v>0.8989783211356757</v>
      </c>
      <c r="I14" s="157"/>
    </row>
    <row r="15" spans="1:9" ht="15.75">
      <c r="A15" s="164"/>
      <c r="B15" s="165">
        <f>DATE(17,12,1)</f>
        <v>6545</v>
      </c>
      <c r="C15" s="226">
        <v>126025437.3</v>
      </c>
      <c r="D15" s="226">
        <v>12607302.66</v>
      </c>
      <c r="E15" s="226">
        <v>11313199.5</v>
      </c>
      <c r="F15" s="166">
        <f t="shared" si="0"/>
        <v>0.11438878630223043</v>
      </c>
      <c r="G15" s="241">
        <f t="shared" si="1"/>
        <v>0.10003776166226404</v>
      </c>
      <c r="H15" s="242">
        <f t="shared" si="2"/>
        <v>0.8999622383377359</v>
      </c>
      <c r="I15" s="157"/>
    </row>
    <row r="16" spans="1:9" ht="15.75">
      <c r="A16" s="164"/>
      <c r="B16" s="165">
        <f>DATE(18,1,1)</f>
        <v>6576</v>
      </c>
      <c r="C16" s="226">
        <v>108661277.61</v>
      </c>
      <c r="D16" s="226">
        <v>10938098.37</v>
      </c>
      <c r="E16" s="226">
        <v>10406173.64</v>
      </c>
      <c r="F16" s="166">
        <f t="shared" si="0"/>
        <v>0.051116265055903734</v>
      </c>
      <c r="G16" s="241">
        <f t="shared" si="1"/>
        <v>0.10066233906487196</v>
      </c>
      <c r="H16" s="242">
        <f t="shared" si="2"/>
        <v>0.899337660935128</v>
      </c>
      <c r="I16" s="157"/>
    </row>
    <row r="17" spans="1:9" ht="15.75">
      <c r="A17" s="164"/>
      <c r="B17" s="165">
        <f>DATE(18,2,1)</f>
        <v>6607</v>
      </c>
      <c r="C17" s="226">
        <v>114658636.42</v>
      </c>
      <c r="D17" s="226">
        <v>11694255.24</v>
      </c>
      <c r="E17" s="226">
        <v>11259350.59</v>
      </c>
      <c r="F17" s="166">
        <f t="shared" si="0"/>
        <v>0.03862608651570555</v>
      </c>
      <c r="G17" s="241">
        <f t="shared" si="1"/>
        <v>0.10199192668891849</v>
      </c>
      <c r="H17" s="242">
        <f t="shared" si="2"/>
        <v>0.8980080733110816</v>
      </c>
      <c r="I17" s="157"/>
    </row>
    <row r="18" spans="1:9" ht="15.75">
      <c r="A18" s="164"/>
      <c r="B18" s="165">
        <f>DATE(18,3,1)</f>
        <v>6635</v>
      </c>
      <c r="C18" s="226">
        <v>134119117.52</v>
      </c>
      <c r="D18" s="226">
        <v>13457679.79</v>
      </c>
      <c r="E18" s="226">
        <v>12688511.37</v>
      </c>
      <c r="F18" s="166">
        <f t="shared" si="0"/>
        <v>0.06061927972248804</v>
      </c>
      <c r="G18" s="241">
        <f t="shared" si="1"/>
        <v>0.10034124917346832</v>
      </c>
      <c r="H18" s="242">
        <f t="shared" si="2"/>
        <v>0.8996587508265317</v>
      </c>
      <c r="I18" s="157"/>
    </row>
    <row r="19" spans="1:9" ht="15.75" thickBot="1">
      <c r="A19" s="167"/>
      <c r="B19" s="168"/>
      <c r="C19" s="226"/>
      <c r="D19" s="226"/>
      <c r="E19" s="226"/>
      <c r="F19" s="166"/>
      <c r="G19" s="241"/>
      <c r="H19" s="242"/>
      <c r="I19" s="157"/>
    </row>
    <row r="20" spans="1:9" ht="17.25" thickBot="1" thickTop="1">
      <c r="A20" s="169" t="s">
        <v>14</v>
      </c>
      <c r="B20" s="155"/>
      <c r="C20" s="223">
        <f>SUM(C10:C19)</f>
        <v>1082766072.08</v>
      </c>
      <c r="D20" s="223">
        <f>SUM(D10:D19)</f>
        <v>107806629.10999998</v>
      </c>
      <c r="E20" s="223">
        <f>SUM(E10:E19)</f>
        <v>102762059.99000002</v>
      </c>
      <c r="F20" s="170">
        <f>(+D20-E20)/E20</f>
        <v>0.04908980143538245</v>
      </c>
      <c r="G20" s="236">
        <f>D20/C20</f>
        <v>0.09956594678193308</v>
      </c>
      <c r="H20" s="237">
        <f>1-G20</f>
        <v>0.9004340532180669</v>
      </c>
      <c r="I20" s="157"/>
    </row>
    <row r="21" spans="1:9" ht="15.75" thickTop="1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.75">
      <c r="A22" s="19" t="s">
        <v>51</v>
      </c>
      <c r="B22" s="165">
        <f>DATE(17,7,1)</f>
        <v>6392</v>
      </c>
      <c r="C22" s="226">
        <v>70369862.87</v>
      </c>
      <c r="D22" s="226">
        <v>6811001.46</v>
      </c>
      <c r="E22" s="226">
        <v>7099133.54</v>
      </c>
      <c r="F22" s="166">
        <f aca="true" t="shared" si="3" ref="F22:F30">(+D22-E22)/E22</f>
        <v>-0.040586936191089044</v>
      </c>
      <c r="G22" s="241">
        <f aca="true" t="shared" si="4" ref="G22:G30">D22/C22</f>
        <v>0.09678861350891815</v>
      </c>
      <c r="H22" s="242">
        <f aca="true" t="shared" si="5" ref="H22:H30">1-G22</f>
        <v>0.9032113864910818</v>
      </c>
      <c r="I22" s="157"/>
    </row>
    <row r="23" spans="1:9" ht="15.75">
      <c r="A23" s="19"/>
      <c r="B23" s="165">
        <f>DATE(17,8,1)</f>
        <v>6423</v>
      </c>
      <c r="C23" s="226">
        <v>64182696.16</v>
      </c>
      <c r="D23" s="226">
        <v>6396602.31</v>
      </c>
      <c r="E23" s="226">
        <v>6284127.36</v>
      </c>
      <c r="F23" s="166">
        <f t="shared" si="3"/>
        <v>0.017898260737987216</v>
      </c>
      <c r="G23" s="241">
        <f t="shared" si="4"/>
        <v>0.09966241203164812</v>
      </c>
      <c r="H23" s="242">
        <f t="shared" si="5"/>
        <v>0.9003375879683518</v>
      </c>
      <c r="I23" s="157"/>
    </row>
    <row r="24" spans="1:9" ht="15.75">
      <c r="A24" s="19"/>
      <c r="B24" s="165">
        <f>DATE(17,9,1)</f>
        <v>6454</v>
      </c>
      <c r="C24" s="226">
        <v>64033578.3</v>
      </c>
      <c r="D24" s="226">
        <v>6148408.09</v>
      </c>
      <c r="E24" s="226">
        <v>6426114.46</v>
      </c>
      <c r="F24" s="166">
        <f t="shared" si="3"/>
        <v>-0.04321528533744793</v>
      </c>
      <c r="G24" s="241">
        <f t="shared" si="4"/>
        <v>0.09601849925041593</v>
      </c>
      <c r="H24" s="242">
        <f t="shared" si="5"/>
        <v>0.903981500749584</v>
      </c>
      <c r="I24" s="157"/>
    </row>
    <row r="25" spans="1:9" ht="15.75">
      <c r="A25" s="19"/>
      <c r="B25" s="165">
        <f>DATE(17,10,1)</f>
        <v>6484</v>
      </c>
      <c r="C25" s="226">
        <v>61277642.92</v>
      </c>
      <c r="D25" s="226">
        <v>5734526.36</v>
      </c>
      <c r="E25" s="226">
        <v>6207514.07</v>
      </c>
      <c r="F25" s="166">
        <f t="shared" si="3"/>
        <v>-0.076195994832437</v>
      </c>
      <c r="G25" s="241">
        <f t="shared" si="4"/>
        <v>0.09358268508282237</v>
      </c>
      <c r="H25" s="242">
        <f t="shared" si="5"/>
        <v>0.9064173149171776</v>
      </c>
      <c r="I25" s="157"/>
    </row>
    <row r="26" spans="1:9" ht="15.75">
      <c r="A26" s="19"/>
      <c r="B26" s="165">
        <f>DATE(17,11,1)</f>
        <v>6515</v>
      </c>
      <c r="C26" s="226">
        <v>59095734.31</v>
      </c>
      <c r="D26" s="226">
        <v>5714351.85</v>
      </c>
      <c r="E26" s="226">
        <v>5938873.2</v>
      </c>
      <c r="F26" s="166">
        <f t="shared" si="3"/>
        <v>-0.03780537863647275</v>
      </c>
      <c r="G26" s="241">
        <f t="shared" si="4"/>
        <v>0.09669651992179466</v>
      </c>
      <c r="H26" s="242">
        <f t="shared" si="5"/>
        <v>0.9033034800782054</v>
      </c>
      <c r="I26" s="157"/>
    </row>
    <row r="27" spans="1:9" ht="15.75">
      <c r="A27" s="19"/>
      <c r="B27" s="165">
        <f>DATE(17,12,1)</f>
        <v>6545</v>
      </c>
      <c r="C27" s="226">
        <v>61263567.67</v>
      </c>
      <c r="D27" s="226">
        <v>5911955.46</v>
      </c>
      <c r="E27" s="226">
        <v>5697753.86</v>
      </c>
      <c r="F27" s="166">
        <f t="shared" si="3"/>
        <v>0.03759404236531896</v>
      </c>
      <c r="G27" s="241">
        <f t="shared" si="4"/>
        <v>0.09650034571680699</v>
      </c>
      <c r="H27" s="242">
        <f t="shared" si="5"/>
        <v>0.903499654283193</v>
      </c>
      <c r="I27" s="157"/>
    </row>
    <row r="28" spans="1:9" ht="15.75">
      <c r="A28" s="19"/>
      <c r="B28" s="165">
        <f>DATE(18,1,1)</f>
        <v>6576</v>
      </c>
      <c r="C28" s="226">
        <v>55782704.19</v>
      </c>
      <c r="D28" s="226">
        <v>5394556.31</v>
      </c>
      <c r="E28" s="226">
        <v>5520952.81</v>
      </c>
      <c r="F28" s="166">
        <f t="shared" si="3"/>
        <v>-0.022893964927767605</v>
      </c>
      <c r="G28" s="241">
        <f t="shared" si="4"/>
        <v>0.09670661163406033</v>
      </c>
      <c r="H28" s="242">
        <f t="shared" si="5"/>
        <v>0.9032933883659396</v>
      </c>
      <c r="I28" s="157"/>
    </row>
    <row r="29" spans="1:9" ht="15.75">
      <c r="A29" s="19"/>
      <c r="B29" s="165">
        <f>DATE(18,2,1)</f>
        <v>6607</v>
      </c>
      <c r="C29" s="226">
        <v>60594616.72</v>
      </c>
      <c r="D29" s="226">
        <v>5898754.5</v>
      </c>
      <c r="E29" s="226">
        <v>6183680.21</v>
      </c>
      <c r="F29" s="166">
        <f t="shared" si="3"/>
        <v>-0.046077044789481436</v>
      </c>
      <c r="G29" s="241">
        <f t="shared" si="4"/>
        <v>0.09734783086849766</v>
      </c>
      <c r="H29" s="242">
        <f t="shared" si="5"/>
        <v>0.9026521691315024</v>
      </c>
      <c r="I29" s="157"/>
    </row>
    <row r="30" spans="1:9" ht="15.75">
      <c r="A30" s="19"/>
      <c r="B30" s="165">
        <f>DATE(18,3,1)</f>
        <v>6635</v>
      </c>
      <c r="C30" s="226">
        <v>71608686.13</v>
      </c>
      <c r="D30" s="226">
        <v>7025004.26</v>
      </c>
      <c r="E30" s="226">
        <v>6935456.98</v>
      </c>
      <c r="F30" s="166">
        <f t="shared" si="3"/>
        <v>0.01291151834092976</v>
      </c>
      <c r="G30" s="241">
        <f t="shared" si="4"/>
        <v>0.09810268334272537</v>
      </c>
      <c r="H30" s="242">
        <f t="shared" si="5"/>
        <v>0.9018973166572746</v>
      </c>
      <c r="I30" s="157"/>
    </row>
    <row r="31" spans="1:9" ht="15.7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69" t="s">
        <v>14</v>
      </c>
      <c r="B32" s="155"/>
      <c r="C32" s="223">
        <f>SUM(C22:C31)</f>
        <v>568209089.27</v>
      </c>
      <c r="D32" s="223">
        <f>SUM(D22:D31)</f>
        <v>55035160.6</v>
      </c>
      <c r="E32" s="223">
        <f>SUM(E22:E31)</f>
        <v>56293606.49000001</v>
      </c>
      <c r="F32" s="170">
        <f>(+D32-E32)/E32</f>
        <v>-0.022355041157712256</v>
      </c>
      <c r="G32" s="236">
        <f>D32/C32</f>
        <v>0.09685723378819192</v>
      </c>
      <c r="H32" s="237">
        <f>1-G32</f>
        <v>0.9031427662118081</v>
      </c>
      <c r="I32" s="157"/>
    </row>
    <row r="33" spans="1:9" ht="15.75" thickTop="1">
      <c r="A33" s="171"/>
      <c r="B33" s="172"/>
      <c r="C33" s="227"/>
      <c r="D33" s="227"/>
      <c r="E33" s="227"/>
      <c r="F33" s="173"/>
      <c r="G33" s="243"/>
      <c r="H33" s="244"/>
      <c r="I33" s="157"/>
    </row>
    <row r="34" spans="1:9" ht="15.75">
      <c r="A34" s="19" t="s">
        <v>60</v>
      </c>
      <c r="B34" s="165">
        <f>DATE(17,7,1)</f>
        <v>6392</v>
      </c>
      <c r="C34" s="226">
        <v>27686533.48</v>
      </c>
      <c r="D34" s="226">
        <v>2951015.74</v>
      </c>
      <c r="E34" s="226">
        <v>3021071.12</v>
      </c>
      <c r="F34" s="166">
        <f aca="true" t="shared" si="6" ref="F34:F42">(+D34-E34)/E34</f>
        <v>-0.0231889211532365</v>
      </c>
      <c r="G34" s="241">
        <f aca="true" t="shared" si="7" ref="G34:G42">D34/C34</f>
        <v>0.10658668201028973</v>
      </c>
      <c r="H34" s="242">
        <f aca="true" t="shared" si="8" ref="H34:H42">1-G34</f>
        <v>0.8934133179897102</v>
      </c>
      <c r="I34" s="157"/>
    </row>
    <row r="35" spans="1:9" ht="15.75">
      <c r="A35" s="19"/>
      <c r="B35" s="165">
        <f>DATE(17,8,1)</f>
        <v>6423</v>
      </c>
      <c r="C35" s="226">
        <v>24319135.61</v>
      </c>
      <c r="D35" s="226">
        <v>2587760.59</v>
      </c>
      <c r="E35" s="226">
        <v>2616739.9</v>
      </c>
      <c r="F35" s="166">
        <f t="shared" si="6"/>
        <v>-0.011074585594082184</v>
      </c>
      <c r="G35" s="241">
        <f t="shared" si="7"/>
        <v>0.1064084115282418</v>
      </c>
      <c r="H35" s="242">
        <f t="shared" si="8"/>
        <v>0.8935915884717582</v>
      </c>
      <c r="I35" s="157"/>
    </row>
    <row r="36" spans="1:9" ht="15.75">
      <c r="A36" s="19"/>
      <c r="B36" s="165">
        <f>DATE(17,9,1)</f>
        <v>6454</v>
      </c>
      <c r="C36" s="226">
        <v>25776531.98</v>
      </c>
      <c r="D36" s="226">
        <v>2789987.56</v>
      </c>
      <c r="E36" s="226">
        <v>2834248.99</v>
      </c>
      <c r="F36" s="166">
        <f t="shared" si="6"/>
        <v>-0.015616634302831722</v>
      </c>
      <c r="G36" s="241">
        <f t="shared" si="7"/>
        <v>0.10823750697590934</v>
      </c>
      <c r="H36" s="242">
        <f t="shared" si="8"/>
        <v>0.8917624930240906</v>
      </c>
      <c r="I36" s="157"/>
    </row>
    <row r="37" spans="1:9" ht="15.75">
      <c r="A37" s="19"/>
      <c r="B37" s="165">
        <f>DATE(17,10,1)</f>
        <v>6484</v>
      </c>
      <c r="C37" s="226">
        <v>23361674.53</v>
      </c>
      <c r="D37" s="226">
        <v>2567921.26</v>
      </c>
      <c r="E37" s="226">
        <v>2635379.35</v>
      </c>
      <c r="F37" s="166">
        <f t="shared" si="6"/>
        <v>-0.025597108059604516</v>
      </c>
      <c r="G37" s="241">
        <f t="shared" si="7"/>
        <v>0.10992025664523286</v>
      </c>
      <c r="H37" s="242">
        <f t="shared" si="8"/>
        <v>0.8900797433547671</v>
      </c>
      <c r="I37" s="157"/>
    </row>
    <row r="38" spans="1:9" ht="15.75">
      <c r="A38" s="19"/>
      <c r="B38" s="165">
        <f>DATE(17,11,1)</f>
        <v>6515</v>
      </c>
      <c r="C38" s="226">
        <v>23308642.88</v>
      </c>
      <c r="D38" s="226">
        <v>2542392.68</v>
      </c>
      <c r="E38" s="226">
        <v>2593526.94</v>
      </c>
      <c r="F38" s="166">
        <f t="shared" si="6"/>
        <v>-0.01971610906035153</v>
      </c>
      <c r="G38" s="241">
        <f t="shared" si="7"/>
        <v>0.10907510544861032</v>
      </c>
      <c r="H38" s="242">
        <f t="shared" si="8"/>
        <v>0.8909248945513897</v>
      </c>
      <c r="I38" s="157"/>
    </row>
    <row r="39" spans="1:9" ht="15.75">
      <c r="A39" s="19"/>
      <c r="B39" s="165">
        <f>DATE(17,12,1)</f>
        <v>6545</v>
      </c>
      <c r="C39" s="226">
        <v>25602184.28</v>
      </c>
      <c r="D39" s="226">
        <v>2721371.75</v>
      </c>
      <c r="E39" s="226">
        <v>2726550.79</v>
      </c>
      <c r="F39" s="166">
        <f t="shared" si="6"/>
        <v>-0.001899484146414906</v>
      </c>
      <c r="G39" s="241">
        <f t="shared" si="7"/>
        <v>0.1062945145710044</v>
      </c>
      <c r="H39" s="242">
        <f t="shared" si="8"/>
        <v>0.8937054854289956</v>
      </c>
      <c r="I39" s="157"/>
    </row>
    <row r="40" spans="1:9" ht="15.75">
      <c r="A40" s="19"/>
      <c r="B40" s="165">
        <f>DATE(18,1,1)</f>
        <v>6576</v>
      </c>
      <c r="C40" s="226">
        <v>20094044.67</v>
      </c>
      <c r="D40" s="226">
        <v>2149317.95</v>
      </c>
      <c r="E40" s="226">
        <v>2435471.7</v>
      </c>
      <c r="F40" s="166">
        <f t="shared" si="6"/>
        <v>-0.11749417987488829</v>
      </c>
      <c r="G40" s="241">
        <f t="shared" si="7"/>
        <v>0.10696293281406347</v>
      </c>
      <c r="H40" s="242">
        <f t="shared" si="8"/>
        <v>0.8930370671859366</v>
      </c>
      <c r="I40" s="157"/>
    </row>
    <row r="41" spans="1:9" ht="15.75">
      <c r="A41" s="19"/>
      <c r="B41" s="165">
        <f>DATE(18,2,1)</f>
        <v>6607</v>
      </c>
      <c r="C41" s="226">
        <v>24478713.75</v>
      </c>
      <c r="D41" s="226">
        <v>2669700.18</v>
      </c>
      <c r="E41" s="226">
        <v>2976785.59</v>
      </c>
      <c r="F41" s="166">
        <f t="shared" si="6"/>
        <v>-0.10316007005395364</v>
      </c>
      <c r="G41" s="241">
        <f t="shared" si="7"/>
        <v>0.10906211034066282</v>
      </c>
      <c r="H41" s="242">
        <f t="shared" si="8"/>
        <v>0.8909378896593372</v>
      </c>
      <c r="I41" s="157"/>
    </row>
    <row r="42" spans="1:9" ht="15.75">
      <c r="A42" s="19"/>
      <c r="B42" s="165">
        <f>DATE(18,3,1)</f>
        <v>6635</v>
      </c>
      <c r="C42" s="226">
        <v>32274083.73</v>
      </c>
      <c r="D42" s="226">
        <v>3445390.71</v>
      </c>
      <c r="E42" s="226">
        <v>3208524</v>
      </c>
      <c r="F42" s="166">
        <f t="shared" si="6"/>
        <v>0.07382419766846063</v>
      </c>
      <c r="G42" s="241">
        <f t="shared" si="7"/>
        <v>0.10675409839125431</v>
      </c>
      <c r="H42" s="242">
        <f t="shared" si="8"/>
        <v>0.8932459016087457</v>
      </c>
      <c r="I42" s="157"/>
    </row>
    <row r="43" spans="1:9" ht="15.75" thickBot="1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7.25" thickBot="1" thickTop="1">
      <c r="A44" s="174" t="s">
        <v>14</v>
      </c>
      <c r="B44" s="175"/>
      <c r="C44" s="228">
        <f>SUM(C34:C43)</f>
        <v>226901544.91</v>
      </c>
      <c r="D44" s="228">
        <f>SUM(D34:D43)</f>
        <v>24424858.42</v>
      </c>
      <c r="E44" s="228">
        <f>SUM(E34:E43)</f>
        <v>25048298.38</v>
      </c>
      <c r="F44" s="176">
        <f>(+D44-E44)/E44</f>
        <v>-0.02488951347281089</v>
      </c>
      <c r="G44" s="245">
        <f>D44/C44</f>
        <v>0.10764518341947855</v>
      </c>
      <c r="H44" s="246">
        <f>1-G44</f>
        <v>0.8923548165805214</v>
      </c>
      <c r="I44" s="157"/>
    </row>
    <row r="45" spans="1:9" ht="15.75" thickTop="1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>
      <c r="A46" s="177" t="s">
        <v>65</v>
      </c>
      <c r="B46" s="165">
        <f>DATE(17,7,1)</f>
        <v>6392</v>
      </c>
      <c r="C46" s="226">
        <v>199002675.73</v>
      </c>
      <c r="D46" s="226">
        <v>17796071.33</v>
      </c>
      <c r="E46" s="226">
        <v>18141371.29</v>
      </c>
      <c r="F46" s="166">
        <f aca="true" t="shared" si="9" ref="F46:F54">(+D46-E46)/E46</f>
        <v>-0.019033840081887268</v>
      </c>
      <c r="G46" s="241">
        <f aca="true" t="shared" si="10" ref="G46:G54">D46/C46</f>
        <v>0.08942629170546983</v>
      </c>
      <c r="H46" s="242">
        <f aca="true" t="shared" si="11" ref="H46:H54">1-G46</f>
        <v>0.9105737082945302</v>
      </c>
      <c r="I46" s="157"/>
    </row>
    <row r="47" spans="1:9" ht="15.75">
      <c r="A47" s="177"/>
      <c r="B47" s="165">
        <f>DATE(17,8,1)</f>
        <v>6423</v>
      </c>
      <c r="C47" s="226">
        <v>185850095.92</v>
      </c>
      <c r="D47" s="226">
        <v>17013833.45</v>
      </c>
      <c r="E47" s="226">
        <v>17116248.3</v>
      </c>
      <c r="F47" s="166">
        <f t="shared" si="9"/>
        <v>-0.005983487047217087</v>
      </c>
      <c r="G47" s="241">
        <f t="shared" si="10"/>
        <v>0.0915460030611105</v>
      </c>
      <c r="H47" s="242">
        <f t="shared" si="11"/>
        <v>0.9084539969388895</v>
      </c>
      <c r="I47" s="157"/>
    </row>
    <row r="48" spans="1:9" ht="15.75">
      <c r="A48" s="177"/>
      <c r="B48" s="165">
        <f>DATE(17,9,1)</f>
        <v>6454</v>
      </c>
      <c r="C48" s="226">
        <v>179235333.71</v>
      </c>
      <c r="D48" s="226">
        <v>16916276.07</v>
      </c>
      <c r="E48" s="226">
        <v>17027821.25</v>
      </c>
      <c r="F48" s="166">
        <f t="shared" si="9"/>
        <v>-0.006550760567797228</v>
      </c>
      <c r="G48" s="241">
        <f t="shared" si="10"/>
        <v>0.09438025259779566</v>
      </c>
      <c r="H48" s="242">
        <f t="shared" si="11"/>
        <v>0.9056197474022043</v>
      </c>
      <c r="I48" s="157"/>
    </row>
    <row r="49" spans="1:9" ht="15.75">
      <c r="A49" s="177"/>
      <c r="B49" s="165">
        <f>DATE(17,10,1)</f>
        <v>6484</v>
      </c>
      <c r="C49" s="226">
        <v>168909872.18</v>
      </c>
      <c r="D49" s="226">
        <v>15553875.56</v>
      </c>
      <c r="E49" s="226">
        <v>16676556.04</v>
      </c>
      <c r="F49" s="166">
        <f t="shared" si="9"/>
        <v>-0.06732088311922217</v>
      </c>
      <c r="G49" s="241">
        <f t="shared" si="10"/>
        <v>0.09208387502315378</v>
      </c>
      <c r="H49" s="242">
        <f t="shared" si="11"/>
        <v>0.9079161249768463</v>
      </c>
      <c r="I49" s="157"/>
    </row>
    <row r="50" spans="1:9" ht="15.75">
      <c r="A50" s="177"/>
      <c r="B50" s="165">
        <f>DATE(17,11,1)</f>
        <v>6515</v>
      </c>
      <c r="C50" s="226">
        <v>169590449.53</v>
      </c>
      <c r="D50" s="226">
        <v>15514479.14</v>
      </c>
      <c r="E50" s="226">
        <v>15819308.66</v>
      </c>
      <c r="F50" s="166">
        <f t="shared" si="9"/>
        <v>-0.019269459023249096</v>
      </c>
      <c r="G50" s="241">
        <f t="shared" si="10"/>
        <v>0.09148203323357273</v>
      </c>
      <c r="H50" s="242">
        <f t="shared" si="11"/>
        <v>0.9085179667664273</v>
      </c>
      <c r="I50" s="157"/>
    </row>
    <row r="51" spans="1:9" ht="15.75">
      <c r="A51" s="177"/>
      <c r="B51" s="165">
        <f>DATE(17,12,1)</f>
        <v>6545</v>
      </c>
      <c r="C51" s="226">
        <v>184665329.47</v>
      </c>
      <c r="D51" s="226">
        <v>16895433.95</v>
      </c>
      <c r="E51" s="226">
        <v>16781327.96</v>
      </c>
      <c r="F51" s="166">
        <f t="shared" si="9"/>
        <v>0.006799580478492618</v>
      </c>
      <c r="G51" s="241">
        <f t="shared" si="10"/>
        <v>0.09149218209227934</v>
      </c>
      <c r="H51" s="242">
        <f t="shared" si="11"/>
        <v>0.9085078179077206</v>
      </c>
      <c r="I51" s="157"/>
    </row>
    <row r="52" spans="1:9" ht="15.75">
      <c r="A52" s="177"/>
      <c r="B52" s="165">
        <f>DATE(18,1,1)</f>
        <v>6576</v>
      </c>
      <c r="C52" s="226">
        <v>161174620.31</v>
      </c>
      <c r="D52" s="226">
        <v>14722625.03</v>
      </c>
      <c r="E52" s="226">
        <v>15501259.71</v>
      </c>
      <c r="F52" s="166">
        <f t="shared" si="9"/>
        <v>-0.05023041317717536</v>
      </c>
      <c r="G52" s="241">
        <f t="shared" si="10"/>
        <v>0.09134580246990996</v>
      </c>
      <c r="H52" s="242">
        <f t="shared" si="11"/>
        <v>0.90865419753009</v>
      </c>
      <c r="I52" s="157"/>
    </row>
    <row r="53" spans="1:9" ht="15.75">
      <c r="A53" s="177"/>
      <c r="B53" s="165">
        <f>DATE(18,2,1)</f>
        <v>6607</v>
      </c>
      <c r="C53" s="226">
        <v>170786992.94</v>
      </c>
      <c r="D53" s="226">
        <v>16321387.87</v>
      </c>
      <c r="E53" s="226">
        <v>16759542.91</v>
      </c>
      <c r="F53" s="166">
        <f t="shared" si="9"/>
        <v>-0.02614361515423937</v>
      </c>
      <c r="G53" s="241">
        <f t="shared" si="10"/>
        <v>0.0955657546809431</v>
      </c>
      <c r="H53" s="242">
        <f t="shared" si="11"/>
        <v>0.9044342453190569</v>
      </c>
      <c r="I53" s="157"/>
    </row>
    <row r="54" spans="1:9" ht="15.75">
      <c r="A54" s="177"/>
      <c r="B54" s="165">
        <f>DATE(18,3,1)</f>
        <v>6635</v>
      </c>
      <c r="C54" s="226">
        <v>205223366.66</v>
      </c>
      <c r="D54" s="226">
        <v>19040351.65</v>
      </c>
      <c r="E54" s="226">
        <v>19420673.92</v>
      </c>
      <c r="F54" s="166">
        <f t="shared" si="9"/>
        <v>-0.019583371388998804</v>
      </c>
      <c r="G54" s="241">
        <f t="shared" si="10"/>
        <v>0.09277867311057589</v>
      </c>
      <c r="H54" s="242">
        <f t="shared" si="11"/>
        <v>0.9072213268894241</v>
      </c>
      <c r="I54" s="157"/>
    </row>
    <row r="55" spans="1:9" ht="15.75" thickBot="1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8"/>
      <c r="C56" s="228">
        <f>SUM(C46:C55)</f>
        <v>1624438736.45</v>
      </c>
      <c r="D56" s="228">
        <f>SUM(D46:D55)</f>
        <v>149774334.05</v>
      </c>
      <c r="E56" s="228">
        <f>SUM(E46:E55)</f>
        <v>153244110.04000002</v>
      </c>
      <c r="F56" s="176">
        <f>(+D56-E56)/E56</f>
        <v>-0.022642149111599286</v>
      </c>
      <c r="G56" s="245">
        <f>D56/C56</f>
        <v>0.0922006664143656</v>
      </c>
      <c r="H56" s="246">
        <f>1-G56</f>
        <v>0.9077993335856344</v>
      </c>
      <c r="I56" s="157"/>
    </row>
    <row r="57" spans="1:9" ht="15.7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>
      <c r="A58" s="164" t="s">
        <v>16</v>
      </c>
      <c r="B58" s="165">
        <f>DATE(17,7,1)</f>
        <v>6392</v>
      </c>
      <c r="C58" s="226">
        <v>122650754.72</v>
      </c>
      <c r="D58" s="226">
        <v>12389304.68</v>
      </c>
      <c r="E58" s="226">
        <v>10986140.39</v>
      </c>
      <c r="F58" s="166">
        <f aca="true" t="shared" si="12" ref="F58:F66">(+D58-E58)/E58</f>
        <v>0.12772131432775174</v>
      </c>
      <c r="G58" s="241">
        <f aca="true" t="shared" si="13" ref="G58:G66">D58/C58</f>
        <v>0.1010128694950439</v>
      </c>
      <c r="H58" s="242">
        <f aca="true" t="shared" si="14" ref="H58:H66">1-G58</f>
        <v>0.8989871305049562</v>
      </c>
      <c r="I58" s="157"/>
    </row>
    <row r="59" spans="1:9" ht="15.75">
      <c r="A59" s="164"/>
      <c r="B59" s="165">
        <f>DATE(17,8,1)</f>
        <v>6423</v>
      </c>
      <c r="C59" s="226">
        <v>118081260.75</v>
      </c>
      <c r="D59" s="226">
        <v>11735802.96</v>
      </c>
      <c r="E59" s="226">
        <v>11023402.54</v>
      </c>
      <c r="F59" s="166">
        <f t="shared" si="12"/>
        <v>0.06462618210801561</v>
      </c>
      <c r="G59" s="241">
        <f t="shared" si="13"/>
        <v>0.0993875140344824</v>
      </c>
      <c r="H59" s="242">
        <f t="shared" si="14"/>
        <v>0.9006124859655176</v>
      </c>
      <c r="I59" s="157"/>
    </row>
    <row r="60" spans="1:9" ht="15.75">
      <c r="A60" s="164"/>
      <c r="B60" s="165">
        <f>DATE(17,9,1)</f>
        <v>6454</v>
      </c>
      <c r="C60" s="226">
        <v>124802163.83</v>
      </c>
      <c r="D60" s="226">
        <v>11892155.97</v>
      </c>
      <c r="E60" s="226">
        <v>10758067.16</v>
      </c>
      <c r="F60" s="166">
        <f t="shared" si="12"/>
        <v>0.10541752464761528</v>
      </c>
      <c r="G60" s="241">
        <f t="shared" si="13"/>
        <v>0.09528805915736342</v>
      </c>
      <c r="H60" s="242">
        <f t="shared" si="14"/>
        <v>0.9047119408426366</v>
      </c>
      <c r="I60" s="157"/>
    </row>
    <row r="61" spans="1:9" ht="15.75">
      <c r="A61" s="164"/>
      <c r="B61" s="165">
        <f>DATE(17,10,1)</f>
        <v>6484</v>
      </c>
      <c r="C61" s="226">
        <v>121164519.66</v>
      </c>
      <c r="D61" s="226">
        <v>11365393.67</v>
      </c>
      <c r="E61" s="226">
        <v>10388271.47</v>
      </c>
      <c r="F61" s="166">
        <f t="shared" si="12"/>
        <v>0.0940601333746238</v>
      </c>
      <c r="G61" s="241">
        <f t="shared" si="13"/>
        <v>0.09380133476278744</v>
      </c>
      <c r="H61" s="242">
        <f t="shared" si="14"/>
        <v>0.9061986652372126</v>
      </c>
      <c r="I61" s="157"/>
    </row>
    <row r="62" spans="1:9" ht="15.75">
      <c r="A62" s="164"/>
      <c r="B62" s="165">
        <f>DATE(17,11,1)</f>
        <v>6515</v>
      </c>
      <c r="C62" s="226">
        <v>108604695.6</v>
      </c>
      <c r="D62" s="226">
        <v>10423173.18</v>
      </c>
      <c r="E62" s="226">
        <v>10027604.31</v>
      </c>
      <c r="F62" s="166">
        <f t="shared" si="12"/>
        <v>0.03944799353575602</v>
      </c>
      <c r="G62" s="241">
        <f t="shared" si="13"/>
        <v>0.09597350393015604</v>
      </c>
      <c r="H62" s="242">
        <f t="shared" si="14"/>
        <v>0.904026496069844</v>
      </c>
      <c r="I62" s="157"/>
    </row>
    <row r="63" spans="1:9" ht="15.75">
      <c r="A63" s="164"/>
      <c r="B63" s="165">
        <f>DATE(17,12,1)</f>
        <v>6545</v>
      </c>
      <c r="C63" s="226">
        <v>121851286.93</v>
      </c>
      <c r="D63" s="226">
        <v>11374202.05</v>
      </c>
      <c r="E63" s="226">
        <v>10322703.49</v>
      </c>
      <c r="F63" s="166">
        <f t="shared" si="12"/>
        <v>0.10186271077326087</v>
      </c>
      <c r="G63" s="241">
        <f t="shared" si="13"/>
        <v>0.09334494806389813</v>
      </c>
      <c r="H63" s="242">
        <f t="shared" si="14"/>
        <v>0.9066550519361019</v>
      </c>
      <c r="I63" s="157"/>
    </row>
    <row r="64" spans="1:9" ht="15.75">
      <c r="A64" s="164"/>
      <c r="B64" s="165">
        <f>DATE(18,1,1)</f>
        <v>6576</v>
      </c>
      <c r="C64" s="226">
        <v>98869972.59</v>
      </c>
      <c r="D64" s="226">
        <v>9601370.92</v>
      </c>
      <c r="E64" s="226">
        <v>9495948.77</v>
      </c>
      <c r="F64" s="166">
        <f t="shared" si="12"/>
        <v>0.011101802732240349</v>
      </c>
      <c r="G64" s="241">
        <f t="shared" si="13"/>
        <v>0.09711109114812388</v>
      </c>
      <c r="H64" s="242">
        <f t="shared" si="14"/>
        <v>0.9028889088518761</v>
      </c>
      <c r="I64" s="157"/>
    </row>
    <row r="65" spans="1:9" ht="15.75">
      <c r="A65" s="164"/>
      <c r="B65" s="165">
        <f>DATE(18,2,1)</f>
        <v>6607</v>
      </c>
      <c r="C65" s="226">
        <v>103363336.11</v>
      </c>
      <c r="D65" s="226">
        <v>9958011.36</v>
      </c>
      <c r="E65" s="226">
        <v>10021318.48</v>
      </c>
      <c r="F65" s="166">
        <f t="shared" si="12"/>
        <v>-0.006317244594745286</v>
      </c>
      <c r="G65" s="241">
        <f t="shared" si="13"/>
        <v>0.09633987963974588</v>
      </c>
      <c r="H65" s="242">
        <f t="shared" si="14"/>
        <v>0.9036601203602541</v>
      </c>
      <c r="I65" s="157"/>
    </row>
    <row r="66" spans="1:9" ht="15.75">
      <c r="A66" s="164"/>
      <c r="B66" s="165">
        <f>DATE(18,3,1)</f>
        <v>6635</v>
      </c>
      <c r="C66" s="226">
        <v>121750394.37</v>
      </c>
      <c r="D66" s="226">
        <v>11915524.59</v>
      </c>
      <c r="E66" s="226">
        <v>12423291.88</v>
      </c>
      <c r="F66" s="166">
        <f t="shared" si="12"/>
        <v>-0.040872201579473875</v>
      </c>
      <c r="G66" s="241">
        <f t="shared" si="13"/>
        <v>0.09786846812001829</v>
      </c>
      <c r="H66" s="242">
        <f t="shared" si="14"/>
        <v>0.9021315318799817</v>
      </c>
      <c r="I66" s="157"/>
    </row>
    <row r="67" spans="1:9" ht="15.75" thickBot="1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Bot="1" thickTop="1">
      <c r="A68" s="174" t="s">
        <v>14</v>
      </c>
      <c r="B68" s="175"/>
      <c r="C68" s="228">
        <f>SUM(C58:C67)</f>
        <v>1041138384.5600001</v>
      </c>
      <c r="D68" s="230">
        <f>SUM(D58:D67)</f>
        <v>100654939.38000001</v>
      </c>
      <c r="E68" s="271">
        <f>SUM(E58:E67)</f>
        <v>95446748.49000001</v>
      </c>
      <c r="F68" s="272">
        <f>(+D68-E68)/E68</f>
        <v>0.05456645692383816</v>
      </c>
      <c r="G68" s="249">
        <f>D68/C68</f>
        <v>0.09667777201638592</v>
      </c>
      <c r="H68" s="270">
        <f>1-G68</f>
        <v>0.9033222279836141</v>
      </c>
      <c r="I68" s="157"/>
    </row>
    <row r="69" spans="1:9" ht="15.7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>
      <c r="A70" s="164" t="s">
        <v>66</v>
      </c>
      <c r="B70" s="165">
        <f>DATE(17,7,1)</f>
        <v>6392</v>
      </c>
      <c r="C70" s="226">
        <v>48763845.1</v>
      </c>
      <c r="D70" s="226">
        <v>4991725.48</v>
      </c>
      <c r="E70" s="226">
        <v>5336762.36</v>
      </c>
      <c r="F70" s="166">
        <f aca="true" t="shared" si="15" ref="F70:F78">(+D70-E70)/E70</f>
        <v>-0.0646528469369582</v>
      </c>
      <c r="G70" s="241">
        <f aca="true" t="shared" si="16" ref="G70:G78">D70/C70</f>
        <v>0.10236529686622273</v>
      </c>
      <c r="H70" s="242">
        <f aca="true" t="shared" si="17" ref="H70:H78">1-G70</f>
        <v>0.8976347031337772</v>
      </c>
      <c r="I70" s="157"/>
    </row>
    <row r="71" spans="1:9" ht="15.75">
      <c r="A71" s="164"/>
      <c r="B71" s="165">
        <f>DATE(17,8,1)</f>
        <v>6423</v>
      </c>
      <c r="C71" s="226">
        <v>46643306.34</v>
      </c>
      <c r="D71" s="226">
        <v>4592418.47</v>
      </c>
      <c r="E71" s="226">
        <v>4882835.18</v>
      </c>
      <c r="F71" s="166">
        <f t="shared" si="15"/>
        <v>-0.05947706594511756</v>
      </c>
      <c r="G71" s="241">
        <f t="shared" si="16"/>
        <v>0.0984582532919985</v>
      </c>
      <c r="H71" s="242">
        <f t="shared" si="17"/>
        <v>0.9015417467080015</v>
      </c>
      <c r="I71" s="157"/>
    </row>
    <row r="72" spans="1:9" ht="15.75">
      <c r="A72" s="164"/>
      <c r="B72" s="165">
        <f>DATE(17,9,1)</f>
        <v>6454</v>
      </c>
      <c r="C72" s="226">
        <v>47450126.56</v>
      </c>
      <c r="D72" s="226">
        <v>5151289.35</v>
      </c>
      <c r="E72" s="226">
        <v>4889525.49</v>
      </c>
      <c r="F72" s="166">
        <f t="shared" si="15"/>
        <v>0.0535356366451828</v>
      </c>
      <c r="G72" s="241">
        <f t="shared" si="16"/>
        <v>0.1085621835694425</v>
      </c>
      <c r="H72" s="242">
        <f t="shared" si="17"/>
        <v>0.8914378164305575</v>
      </c>
      <c r="I72" s="157"/>
    </row>
    <row r="73" spans="1:9" ht="15.75">
      <c r="A73" s="164"/>
      <c r="B73" s="165">
        <f>DATE(17,10,1)</f>
        <v>6484</v>
      </c>
      <c r="C73" s="226">
        <v>43853918.35</v>
      </c>
      <c r="D73" s="226">
        <v>4567525</v>
      </c>
      <c r="E73" s="226">
        <v>4651162.99</v>
      </c>
      <c r="F73" s="166">
        <f t="shared" si="15"/>
        <v>-0.01798216707946419</v>
      </c>
      <c r="G73" s="241">
        <f t="shared" si="16"/>
        <v>0.10415317882307316</v>
      </c>
      <c r="H73" s="242">
        <f t="shared" si="17"/>
        <v>0.8958468211769268</v>
      </c>
      <c r="I73" s="157"/>
    </row>
    <row r="74" spans="1:9" ht="15.75">
      <c r="A74" s="164"/>
      <c r="B74" s="165">
        <f>DATE(17,11,1)</f>
        <v>6515</v>
      </c>
      <c r="C74" s="226">
        <v>42534698.28</v>
      </c>
      <c r="D74" s="226">
        <v>4348004.21</v>
      </c>
      <c r="E74" s="226">
        <v>4567000.88</v>
      </c>
      <c r="F74" s="166">
        <f t="shared" si="15"/>
        <v>-0.04795196579861397</v>
      </c>
      <c r="G74" s="241">
        <f t="shared" si="16"/>
        <v>0.10222252386457976</v>
      </c>
      <c r="H74" s="242">
        <f t="shared" si="17"/>
        <v>0.8977774761354202</v>
      </c>
      <c r="I74" s="157"/>
    </row>
    <row r="75" spans="1:9" ht="15.75">
      <c r="A75" s="164"/>
      <c r="B75" s="165">
        <f>DATE(17,12,1)</f>
        <v>6545</v>
      </c>
      <c r="C75" s="226">
        <v>47343687.14</v>
      </c>
      <c r="D75" s="226">
        <v>4903510.72</v>
      </c>
      <c r="E75" s="226">
        <v>4759383.95</v>
      </c>
      <c r="F75" s="166">
        <f t="shared" si="15"/>
        <v>0.03028265244286491</v>
      </c>
      <c r="G75" s="241">
        <f t="shared" si="16"/>
        <v>0.10357264117388723</v>
      </c>
      <c r="H75" s="242">
        <f t="shared" si="17"/>
        <v>0.8964273588261128</v>
      </c>
      <c r="I75" s="157"/>
    </row>
    <row r="76" spans="1:9" ht="15.75">
      <c r="A76" s="164"/>
      <c r="B76" s="165">
        <f>DATE(18,1,1)</f>
        <v>6576</v>
      </c>
      <c r="C76" s="226">
        <v>41181144.11</v>
      </c>
      <c r="D76" s="226">
        <v>4062330.47</v>
      </c>
      <c r="E76" s="226">
        <v>4536139.97</v>
      </c>
      <c r="F76" s="166">
        <f t="shared" si="15"/>
        <v>-0.10445213400238167</v>
      </c>
      <c r="G76" s="241">
        <f t="shared" si="16"/>
        <v>0.09864540089388985</v>
      </c>
      <c r="H76" s="242">
        <f t="shared" si="17"/>
        <v>0.9013545991061102</v>
      </c>
      <c r="I76" s="157"/>
    </row>
    <row r="77" spans="1:9" ht="15.75">
      <c r="A77" s="164"/>
      <c r="B77" s="165">
        <f>DATE(18,2,1)</f>
        <v>6607</v>
      </c>
      <c r="C77" s="226">
        <v>45191439.71</v>
      </c>
      <c r="D77" s="226">
        <v>4744487.69</v>
      </c>
      <c r="E77" s="226">
        <v>4899915.65</v>
      </c>
      <c r="F77" s="166">
        <f t="shared" si="15"/>
        <v>-0.031720537883136814</v>
      </c>
      <c r="G77" s="241">
        <f t="shared" si="16"/>
        <v>0.10498642487263216</v>
      </c>
      <c r="H77" s="242">
        <f t="shared" si="17"/>
        <v>0.8950135751273678</v>
      </c>
      <c r="I77" s="157"/>
    </row>
    <row r="78" spans="1:9" ht="15.75">
      <c r="A78" s="164"/>
      <c r="B78" s="165">
        <f>DATE(18,3,1)</f>
        <v>6635</v>
      </c>
      <c r="C78" s="226">
        <v>57108388.15</v>
      </c>
      <c r="D78" s="226">
        <v>5878250.31</v>
      </c>
      <c r="E78" s="226">
        <v>5285635</v>
      </c>
      <c r="F78" s="166">
        <f t="shared" si="15"/>
        <v>0.1121180917713765</v>
      </c>
      <c r="G78" s="241">
        <f t="shared" si="16"/>
        <v>0.1029314694464897</v>
      </c>
      <c r="H78" s="242">
        <f t="shared" si="17"/>
        <v>0.8970685305535103</v>
      </c>
      <c r="I78" s="157"/>
    </row>
    <row r="79" spans="1:9" ht="15.75" thickBot="1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Bot="1" thickTop="1">
      <c r="A80" s="174" t="s">
        <v>14</v>
      </c>
      <c r="B80" s="175"/>
      <c r="C80" s="228">
        <f>SUM(C70:C79)</f>
        <v>420070553.73999995</v>
      </c>
      <c r="D80" s="230">
        <f>SUM(D70:D79)</f>
        <v>43239541.699999996</v>
      </c>
      <c r="E80" s="271">
        <f>SUM(E70:E79)</f>
        <v>43808361.47</v>
      </c>
      <c r="F80" s="272">
        <f>(+D80-E80)/E80</f>
        <v>-0.012984274026992119</v>
      </c>
      <c r="G80" s="249">
        <f>D80/C80</f>
        <v>0.10293399838438293</v>
      </c>
      <c r="H80" s="270">
        <f>1-G80</f>
        <v>0.8970660016156171</v>
      </c>
      <c r="I80" s="157"/>
    </row>
    <row r="81" spans="1:9" ht="15.75" thickTop="1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.75">
      <c r="A82" s="164" t="s">
        <v>17</v>
      </c>
      <c r="B82" s="165">
        <f>DATE(17,7,1)</f>
        <v>6392</v>
      </c>
      <c r="C82" s="226">
        <v>51730614.82</v>
      </c>
      <c r="D82" s="226">
        <v>5822170.92</v>
      </c>
      <c r="E82" s="226">
        <v>5949492.25</v>
      </c>
      <c r="F82" s="166">
        <f aca="true" t="shared" si="18" ref="F82:F90">(+D82-E82)/E82</f>
        <v>-0.021400369081916205</v>
      </c>
      <c r="G82" s="241">
        <f aca="true" t="shared" si="19" ref="G82:G90">D82/C82</f>
        <v>0.11254787789123748</v>
      </c>
      <c r="H82" s="242">
        <f aca="true" t="shared" si="20" ref="H82:H90">1-G82</f>
        <v>0.8874521221087626</v>
      </c>
      <c r="I82" s="157"/>
    </row>
    <row r="83" spans="1:9" ht="15.75">
      <c r="A83" s="164"/>
      <c r="B83" s="165">
        <f>DATE(17,8,1)</f>
        <v>6423</v>
      </c>
      <c r="C83" s="226">
        <v>50278496.66</v>
      </c>
      <c r="D83" s="226">
        <v>5584923.33</v>
      </c>
      <c r="E83" s="226">
        <v>5777712.11</v>
      </c>
      <c r="F83" s="166">
        <f t="shared" si="18"/>
        <v>-0.0333676680889523</v>
      </c>
      <c r="G83" s="241">
        <f t="shared" si="19"/>
        <v>0.11107975975827437</v>
      </c>
      <c r="H83" s="242">
        <f t="shared" si="20"/>
        <v>0.8889202402417257</v>
      </c>
      <c r="I83" s="157"/>
    </row>
    <row r="84" spans="1:9" ht="15.75">
      <c r="A84" s="164"/>
      <c r="B84" s="165">
        <f>DATE(17,9,1)</f>
        <v>6454</v>
      </c>
      <c r="C84" s="226">
        <v>51254253.76</v>
      </c>
      <c r="D84" s="226">
        <v>5571414.24</v>
      </c>
      <c r="E84" s="226">
        <v>5530260.84</v>
      </c>
      <c r="F84" s="166">
        <f t="shared" si="18"/>
        <v>0.007441493482972925</v>
      </c>
      <c r="G84" s="241">
        <f t="shared" si="19"/>
        <v>0.10870149951042815</v>
      </c>
      <c r="H84" s="242">
        <f t="shared" si="20"/>
        <v>0.8912985004895718</v>
      </c>
      <c r="I84" s="157"/>
    </row>
    <row r="85" spans="1:9" ht="15.75">
      <c r="A85" s="164"/>
      <c r="B85" s="165">
        <f>DATE(17,10,1)</f>
        <v>6484</v>
      </c>
      <c r="C85" s="226">
        <v>48929722.41</v>
      </c>
      <c r="D85" s="226">
        <v>5441119.06</v>
      </c>
      <c r="E85" s="226">
        <v>5730702.37</v>
      </c>
      <c r="F85" s="166">
        <f t="shared" si="18"/>
        <v>-0.050531905393649074</v>
      </c>
      <c r="G85" s="241">
        <f t="shared" si="19"/>
        <v>0.11120273715037411</v>
      </c>
      <c r="H85" s="242">
        <f t="shared" si="20"/>
        <v>0.8887972628496259</v>
      </c>
      <c r="I85" s="157"/>
    </row>
    <row r="86" spans="1:9" ht="15.75">
      <c r="A86" s="164"/>
      <c r="B86" s="165">
        <f>DATE(17,11,1)</f>
        <v>6515</v>
      </c>
      <c r="C86" s="226">
        <v>47395483.1</v>
      </c>
      <c r="D86" s="226">
        <v>5393254.4</v>
      </c>
      <c r="E86" s="226">
        <v>5507223.42</v>
      </c>
      <c r="F86" s="166">
        <f t="shared" si="18"/>
        <v>-0.020694460948526318</v>
      </c>
      <c r="G86" s="241">
        <f t="shared" si="19"/>
        <v>0.11379258206147497</v>
      </c>
      <c r="H86" s="242">
        <f t="shared" si="20"/>
        <v>0.8862074179385251</v>
      </c>
      <c r="I86" s="157"/>
    </row>
    <row r="87" spans="1:9" ht="15.75">
      <c r="A87" s="164"/>
      <c r="B87" s="165">
        <f>DATE(17,12,1)</f>
        <v>6545</v>
      </c>
      <c r="C87" s="226">
        <v>50499042.39</v>
      </c>
      <c r="D87" s="226">
        <v>5595361.43</v>
      </c>
      <c r="E87" s="226">
        <v>5775753.06</v>
      </c>
      <c r="F87" s="166">
        <f t="shared" si="18"/>
        <v>-0.031232573159905817</v>
      </c>
      <c r="G87" s="241">
        <f t="shared" si="19"/>
        <v>0.11080133731621043</v>
      </c>
      <c r="H87" s="242">
        <f t="shared" si="20"/>
        <v>0.8891986626837896</v>
      </c>
      <c r="I87" s="157"/>
    </row>
    <row r="88" spans="1:9" ht="15.75">
      <c r="A88" s="164"/>
      <c r="B88" s="165">
        <f>DATE(18,1,1)</f>
        <v>6576</v>
      </c>
      <c r="C88" s="226">
        <v>45338566.4</v>
      </c>
      <c r="D88" s="226">
        <v>5047120.87</v>
      </c>
      <c r="E88" s="226">
        <v>5323269.15</v>
      </c>
      <c r="F88" s="166">
        <f t="shared" si="18"/>
        <v>-0.05187569371727151</v>
      </c>
      <c r="G88" s="241">
        <f t="shared" si="19"/>
        <v>0.11132069826539553</v>
      </c>
      <c r="H88" s="242">
        <f t="shared" si="20"/>
        <v>0.8886793017346044</v>
      </c>
      <c r="I88" s="157"/>
    </row>
    <row r="89" spans="1:9" ht="15.75">
      <c r="A89" s="164"/>
      <c r="B89" s="165">
        <f>DATE(18,2,1)</f>
        <v>6607</v>
      </c>
      <c r="C89" s="226">
        <v>47663451.33</v>
      </c>
      <c r="D89" s="226">
        <v>5208050.55</v>
      </c>
      <c r="E89" s="226">
        <v>5916633.96</v>
      </c>
      <c r="F89" s="166">
        <f t="shared" si="18"/>
        <v>-0.11976123836465966</v>
      </c>
      <c r="G89" s="241">
        <f t="shared" si="19"/>
        <v>0.10926717232333498</v>
      </c>
      <c r="H89" s="242">
        <f t="shared" si="20"/>
        <v>0.8907328276766651</v>
      </c>
      <c r="I89" s="157"/>
    </row>
    <row r="90" spans="1:9" ht="15.75">
      <c r="A90" s="164"/>
      <c r="B90" s="165">
        <f>DATE(18,3,1)</f>
        <v>6635</v>
      </c>
      <c r="C90" s="226">
        <v>59270393.23</v>
      </c>
      <c r="D90" s="226">
        <v>6546343.56</v>
      </c>
      <c r="E90" s="226">
        <v>6941288.64</v>
      </c>
      <c r="F90" s="166">
        <f t="shared" si="18"/>
        <v>-0.05689794798678766</v>
      </c>
      <c r="G90" s="241">
        <f t="shared" si="19"/>
        <v>0.11044879581947055</v>
      </c>
      <c r="H90" s="242">
        <f t="shared" si="20"/>
        <v>0.8895512041805295</v>
      </c>
      <c r="I90" s="157"/>
    </row>
    <row r="91" spans="1:9" ht="15.75" thickBot="1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SUM(C82:C91)</f>
        <v>452360024.09999996</v>
      </c>
      <c r="D92" s="230">
        <f>SUM(D82:D91)</f>
        <v>50209758.36</v>
      </c>
      <c r="E92" s="271">
        <f>SUM(E82:E91)</f>
        <v>52452335.800000004</v>
      </c>
      <c r="F92" s="272">
        <f>(+D92-E92)/E92</f>
        <v>-0.04275457719463477</v>
      </c>
      <c r="G92" s="249">
        <f>D92/C92</f>
        <v>0.11099512707802954</v>
      </c>
      <c r="H92" s="270">
        <f>1-G92</f>
        <v>0.8890048729219705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67</v>
      </c>
      <c r="B94" s="165">
        <f>DATE(17,7,1)</f>
        <v>6392</v>
      </c>
      <c r="C94" s="226">
        <v>109468070.42</v>
      </c>
      <c r="D94" s="226">
        <v>10117966.68</v>
      </c>
      <c r="E94" s="226">
        <v>8936566.59</v>
      </c>
      <c r="F94" s="166">
        <f aca="true" t="shared" si="21" ref="F94:F102">(+D94-E94)/E94</f>
        <v>0.13219843192596856</v>
      </c>
      <c r="G94" s="241">
        <f aca="true" t="shared" si="22" ref="G94:G102">D94/C94</f>
        <v>0.09242847381140493</v>
      </c>
      <c r="H94" s="242">
        <f aca="true" t="shared" si="23" ref="H94:H102">1-G94</f>
        <v>0.907571526188595</v>
      </c>
      <c r="I94" s="157"/>
    </row>
    <row r="95" spans="1:9" ht="15.75">
      <c r="A95" s="164"/>
      <c r="B95" s="165">
        <f>DATE(17,8,1)</f>
        <v>6423</v>
      </c>
      <c r="C95" s="226">
        <v>102310953.37</v>
      </c>
      <c r="D95" s="226">
        <v>10081520.41</v>
      </c>
      <c r="E95" s="226">
        <v>7748842.64</v>
      </c>
      <c r="F95" s="166">
        <f t="shared" si="21"/>
        <v>0.3010356356907514</v>
      </c>
      <c r="G95" s="241">
        <f t="shared" si="22"/>
        <v>0.09853803603550566</v>
      </c>
      <c r="H95" s="242">
        <f t="shared" si="23"/>
        <v>0.9014619639644943</v>
      </c>
      <c r="I95" s="157"/>
    </row>
    <row r="96" spans="1:9" ht="15.75">
      <c r="A96" s="164"/>
      <c r="B96" s="165">
        <f>DATE(17,9,1)</f>
        <v>6454</v>
      </c>
      <c r="C96" s="226">
        <v>103135206.2</v>
      </c>
      <c r="D96" s="226">
        <v>9642813.36</v>
      </c>
      <c r="E96" s="226">
        <v>8194684.76</v>
      </c>
      <c r="F96" s="166">
        <f t="shared" si="21"/>
        <v>0.17671559582970459</v>
      </c>
      <c r="G96" s="241">
        <f t="shared" si="22"/>
        <v>0.09349681563927488</v>
      </c>
      <c r="H96" s="242">
        <f t="shared" si="23"/>
        <v>0.9065031843607251</v>
      </c>
      <c r="I96" s="157"/>
    </row>
    <row r="97" spans="1:9" ht="15.75">
      <c r="A97" s="164"/>
      <c r="B97" s="165">
        <f>DATE(17,10,1)</f>
        <v>6484</v>
      </c>
      <c r="C97" s="226">
        <v>98551658.52</v>
      </c>
      <c r="D97" s="226">
        <v>9440836.54</v>
      </c>
      <c r="E97" s="226">
        <v>8155477.29</v>
      </c>
      <c r="F97" s="166">
        <f t="shared" si="21"/>
        <v>0.15760687011857266</v>
      </c>
      <c r="G97" s="241">
        <f t="shared" si="22"/>
        <v>0.09579581593833941</v>
      </c>
      <c r="H97" s="242">
        <f t="shared" si="23"/>
        <v>0.9042041840616606</v>
      </c>
      <c r="I97" s="157"/>
    </row>
    <row r="98" spans="1:9" ht="15.75">
      <c r="A98" s="164"/>
      <c r="B98" s="165">
        <f>DATE(17,11,1)</f>
        <v>6515</v>
      </c>
      <c r="C98" s="226">
        <v>104447200.76</v>
      </c>
      <c r="D98" s="226">
        <v>9748688.07</v>
      </c>
      <c r="E98" s="226">
        <v>7902548.5</v>
      </c>
      <c r="F98" s="166">
        <f t="shared" si="21"/>
        <v>0.23361319073207842</v>
      </c>
      <c r="G98" s="241">
        <f t="shared" si="22"/>
        <v>0.09333603963595587</v>
      </c>
      <c r="H98" s="242">
        <f t="shared" si="23"/>
        <v>0.9066639603640442</v>
      </c>
      <c r="I98" s="157"/>
    </row>
    <row r="99" spans="1:9" ht="15.75">
      <c r="A99" s="164"/>
      <c r="B99" s="165">
        <f>DATE(17,12,1)</f>
        <v>6545</v>
      </c>
      <c r="C99" s="226">
        <v>119043904.52</v>
      </c>
      <c r="D99" s="226">
        <v>10597064.9</v>
      </c>
      <c r="E99" s="226">
        <v>9058840.33</v>
      </c>
      <c r="F99" s="166">
        <f t="shared" si="21"/>
        <v>0.1698036960543271</v>
      </c>
      <c r="G99" s="241">
        <f t="shared" si="22"/>
        <v>0.08901812270631326</v>
      </c>
      <c r="H99" s="242">
        <f t="shared" si="23"/>
        <v>0.9109818772936867</v>
      </c>
      <c r="I99" s="157"/>
    </row>
    <row r="100" spans="1:9" ht="15.75">
      <c r="A100" s="164"/>
      <c r="B100" s="165">
        <f>DATE(18,1,1)</f>
        <v>6576</v>
      </c>
      <c r="C100" s="226">
        <v>107495479.12</v>
      </c>
      <c r="D100" s="226">
        <v>10120620.01</v>
      </c>
      <c r="E100" s="226">
        <v>8269082.65</v>
      </c>
      <c r="F100" s="166">
        <f t="shared" si="21"/>
        <v>0.22391085424693383</v>
      </c>
      <c r="G100" s="241">
        <f t="shared" si="22"/>
        <v>0.09414926183734748</v>
      </c>
      <c r="H100" s="242">
        <f t="shared" si="23"/>
        <v>0.9058507381626525</v>
      </c>
      <c r="I100" s="157"/>
    </row>
    <row r="101" spans="1:9" ht="15.75">
      <c r="A101" s="164"/>
      <c r="B101" s="165">
        <f>DATE(18,2,1)</f>
        <v>6607</v>
      </c>
      <c r="C101" s="226">
        <v>117442153.2</v>
      </c>
      <c r="D101" s="226">
        <v>11560671.16</v>
      </c>
      <c r="E101" s="226">
        <v>9640352.66</v>
      </c>
      <c r="F101" s="166">
        <f t="shared" si="21"/>
        <v>0.1991958767201365</v>
      </c>
      <c r="G101" s="241">
        <f t="shared" si="22"/>
        <v>0.09843715263217773</v>
      </c>
      <c r="H101" s="242">
        <f t="shared" si="23"/>
        <v>0.9015628473678223</v>
      </c>
      <c r="I101" s="157"/>
    </row>
    <row r="102" spans="1:9" ht="15.75">
      <c r="A102" s="164"/>
      <c r="B102" s="165">
        <f>DATE(18,3,1)</f>
        <v>6635</v>
      </c>
      <c r="C102" s="226">
        <v>140467988.74</v>
      </c>
      <c r="D102" s="226">
        <v>13849903.03</v>
      </c>
      <c r="E102" s="226">
        <v>11097029.25</v>
      </c>
      <c r="F102" s="166">
        <f t="shared" si="21"/>
        <v>0.24807303990840607</v>
      </c>
      <c r="G102" s="241">
        <f t="shared" si="22"/>
        <v>0.09859828672876889</v>
      </c>
      <c r="H102" s="242">
        <f t="shared" si="23"/>
        <v>0.9014017132712311</v>
      </c>
      <c r="I102" s="157"/>
    </row>
    <row r="103" spans="1:9" ht="15.75" thickBot="1">
      <c r="A103" s="167"/>
      <c r="B103" s="165"/>
      <c r="C103" s="226"/>
      <c r="D103" s="226"/>
      <c r="E103" s="226"/>
      <c r="F103" s="166"/>
      <c r="G103" s="241"/>
      <c r="H103" s="242"/>
      <c r="I103" s="157"/>
    </row>
    <row r="104" spans="1:9" ht="17.25" thickBot="1" thickTop="1">
      <c r="A104" s="174" t="s">
        <v>14</v>
      </c>
      <c r="B104" s="175"/>
      <c r="C104" s="228">
        <f>SUM(C94:C103)</f>
        <v>1002362614.85</v>
      </c>
      <c r="D104" s="230">
        <f>SUM(D94:D103)</f>
        <v>95160084.16</v>
      </c>
      <c r="E104" s="271">
        <f>SUM(E94:E103)</f>
        <v>79003424.67</v>
      </c>
      <c r="F104" s="176">
        <f>(+D104-E104)/E104</f>
        <v>0.20450581170989626</v>
      </c>
      <c r="G104" s="249">
        <f>D104/C104</f>
        <v>0.0949357874587535</v>
      </c>
      <c r="H104" s="270">
        <f>1-G104</f>
        <v>0.9050642125412465</v>
      </c>
      <c r="I104" s="157"/>
    </row>
    <row r="105" spans="1:9" ht="15.75" thickTop="1">
      <c r="A105" s="167"/>
      <c r="B105" s="179"/>
      <c r="C105" s="229"/>
      <c r="D105" s="229"/>
      <c r="E105" s="229"/>
      <c r="F105" s="180"/>
      <c r="G105" s="247"/>
      <c r="H105" s="248"/>
      <c r="I105" s="157"/>
    </row>
    <row r="106" spans="1:9" ht="15.75">
      <c r="A106" s="164" t="s">
        <v>18</v>
      </c>
      <c r="B106" s="165">
        <f>DATE(17,7,1)</f>
        <v>6392</v>
      </c>
      <c r="C106" s="226">
        <v>149607316.71</v>
      </c>
      <c r="D106" s="226">
        <v>13990899.67</v>
      </c>
      <c r="E106" s="226">
        <v>14874442.41</v>
      </c>
      <c r="F106" s="166">
        <f aca="true" t="shared" si="24" ref="F106:F114">(+D106-E106)/E106</f>
        <v>-0.05940005787416943</v>
      </c>
      <c r="G106" s="241">
        <f aca="true" t="shared" si="25" ref="G106:G114">D106/C106</f>
        <v>0.0935174828188388</v>
      </c>
      <c r="H106" s="242">
        <f aca="true" t="shared" si="26" ref="H106:H114">1-G106</f>
        <v>0.9064825171811612</v>
      </c>
      <c r="I106" s="157"/>
    </row>
    <row r="107" spans="1:9" ht="15.75">
      <c r="A107" s="164"/>
      <c r="B107" s="165">
        <f>DATE(17,8,1)</f>
        <v>6423</v>
      </c>
      <c r="C107" s="226">
        <v>139276395.92</v>
      </c>
      <c r="D107" s="226">
        <v>13373041.55</v>
      </c>
      <c r="E107" s="226">
        <v>13587466.12</v>
      </c>
      <c r="F107" s="166">
        <f t="shared" si="24"/>
        <v>-0.015781056460878847</v>
      </c>
      <c r="G107" s="241">
        <f t="shared" si="25"/>
        <v>0.09601800406783531</v>
      </c>
      <c r="H107" s="242">
        <f t="shared" si="26"/>
        <v>0.9039819959321647</v>
      </c>
      <c r="I107" s="157"/>
    </row>
    <row r="108" spans="1:9" ht="15.75">
      <c r="A108" s="164"/>
      <c r="B108" s="165">
        <f>DATE(17,9,1)</f>
        <v>6454</v>
      </c>
      <c r="C108" s="226">
        <v>145809880.77</v>
      </c>
      <c r="D108" s="226">
        <v>13392030.43</v>
      </c>
      <c r="E108" s="226">
        <v>13653509.51</v>
      </c>
      <c r="F108" s="166">
        <f t="shared" si="24"/>
        <v>-0.019151052687844804</v>
      </c>
      <c r="G108" s="241">
        <f t="shared" si="25"/>
        <v>0.09184583623056754</v>
      </c>
      <c r="H108" s="242">
        <f t="shared" si="26"/>
        <v>0.9081541637694325</v>
      </c>
      <c r="I108" s="157"/>
    </row>
    <row r="109" spans="1:9" ht="15.75">
      <c r="A109" s="164"/>
      <c r="B109" s="165">
        <f>DATE(17,10,1)</f>
        <v>6484</v>
      </c>
      <c r="C109" s="226">
        <v>137124347.25</v>
      </c>
      <c r="D109" s="226">
        <v>12769108.56</v>
      </c>
      <c r="E109" s="226">
        <v>13910961.09</v>
      </c>
      <c r="F109" s="166">
        <f t="shared" si="24"/>
        <v>-0.08208293608274332</v>
      </c>
      <c r="G109" s="241">
        <f t="shared" si="25"/>
        <v>0.09312065155518909</v>
      </c>
      <c r="H109" s="242">
        <f t="shared" si="26"/>
        <v>0.9068793484448109</v>
      </c>
      <c r="I109" s="157"/>
    </row>
    <row r="110" spans="1:9" ht="15.75">
      <c r="A110" s="164"/>
      <c r="B110" s="165">
        <f>DATE(17,11,1)</f>
        <v>6515</v>
      </c>
      <c r="C110" s="226">
        <v>132140000.6</v>
      </c>
      <c r="D110" s="226">
        <v>12739975.57</v>
      </c>
      <c r="E110" s="226">
        <v>13119547.64</v>
      </c>
      <c r="F110" s="166">
        <f t="shared" si="24"/>
        <v>-0.028931795547792245</v>
      </c>
      <c r="G110" s="241">
        <f t="shared" si="25"/>
        <v>0.09641271009650655</v>
      </c>
      <c r="H110" s="242">
        <f t="shared" si="26"/>
        <v>0.9035872899034935</v>
      </c>
      <c r="I110" s="157"/>
    </row>
    <row r="111" spans="1:9" ht="15.75">
      <c r="A111" s="164"/>
      <c r="B111" s="165">
        <f>DATE(17,12,1)</f>
        <v>6545</v>
      </c>
      <c r="C111" s="226">
        <v>145680241.12</v>
      </c>
      <c r="D111" s="226">
        <v>13705331.41</v>
      </c>
      <c r="E111" s="226">
        <v>13506446.31</v>
      </c>
      <c r="F111" s="166">
        <f t="shared" si="24"/>
        <v>0.01472519828200462</v>
      </c>
      <c r="G111" s="241">
        <f t="shared" si="25"/>
        <v>0.09407817631706566</v>
      </c>
      <c r="H111" s="242">
        <f t="shared" si="26"/>
        <v>0.9059218236829343</v>
      </c>
      <c r="I111" s="157"/>
    </row>
    <row r="112" spans="1:9" ht="15.75">
      <c r="A112" s="164"/>
      <c r="B112" s="165">
        <f>DATE(18,1,1)</f>
        <v>6576</v>
      </c>
      <c r="C112" s="226">
        <v>128203247.42</v>
      </c>
      <c r="D112" s="226">
        <v>12314929.47</v>
      </c>
      <c r="E112" s="226">
        <v>12650604.78</v>
      </c>
      <c r="F112" s="166">
        <f t="shared" si="24"/>
        <v>-0.02653432905679618</v>
      </c>
      <c r="G112" s="241">
        <f t="shared" si="25"/>
        <v>0.0960578590467034</v>
      </c>
      <c r="H112" s="242">
        <f t="shared" si="26"/>
        <v>0.9039421409532966</v>
      </c>
      <c r="I112" s="157"/>
    </row>
    <row r="113" spans="1:9" ht="15.75">
      <c r="A113" s="164"/>
      <c r="B113" s="165">
        <f>DATE(18,2,1)</f>
        <v>6607</v>
      </c>
      <c r="C113" s="226">
        <v>128906980.13</v>
      </c>
      <c r="D113" s="226">
        <v>12905800.56</v>
      </c>
      <c r="E113" s="226">
        <v>13965168.51</v>
      </c>
      <c r="F113" s="166">
        <f t="shared" si="24"/>
        <v>-0.07585787090513234</v>
      </c>
      <c r="G113" s="241">
        <f t="shared" si="25"/>
        <v>0.10011715848889463</v>
      </c>
      <c r="H113" s="242">
        <f t="shared" si="26"/>
        <v>0.8998828415111053</v>
      </c>
      <c r="I113" s="157"/>
    </row>
    <row r="114" spans="1:9" ht="15.75">
      <c r="A114" s="164"/>
      <c r="B114" s="165">
        <f>DATE(18,3,1)</f>
        <v>6635</v>
      </c>
      <c r="C114" s="226">
        <v>159791555.81</v>
      </c>
      <c r="D114" s="226">
        <v>15707751.75</v>
      </c>
      <c r="E114" s="226">
        <v>15555765.15</v>
      </c>
      <c r="F114" s="166">
        <f t="shared" si="24"/>
        <v>0.009770435496707124</v>
      </c>
      <c r="G114" s="241">
        <f t="shared" si="25"/>
        <v>0.09830151330823318</v>
      </c>
      <c r="H114" s="242">
        <f t="shared" si="26"/>
        <v>0.9016984866917668</v>
      </c>
      <c r="I114" s="157"/>
    </row>
    <row r="115" spans="1:9" ht="15.75" customHeight="1" thickBot="1">
      <c r="A115" s="164"/>
      <c r="B115" s="165"/>
      <c r="C115" s="226"/>
      <c r="D115" s="226"/>
      <c r="E115" s="226"/>
      <c r="F115" s="166"/>
      <c r="G115" s="241"/>
      <c r="H115" s="242"/>
      <c r="I115" s="157"/>
    </row>
    <row r="116" spans="1:9" ht="17.25" thickBot="1" thickTop="1">
      <c r="A116" s="174" t="s">
        <v>14</v>
      </c>
      <c r="B116" s="181"/>
      <c r="C116" s="228">
        <f>SUM(C106:C115)</f>
        <v>1266539965.73</v>
      </c>
      <c r="D116" s="228">
        <f>SUM(D106:D115)</f>
        <v>120898868.97</v>
      </c>
      <c r="E116" s="228">
        <f>SUM(E106:E115)</f>
        <v>124823911.52000001</v>
      </c>
      <c r="F116" s="176">
        <f>(+D116-E116)/E116</f>
        <v>-0.031444636706254143</v>
      </c>
      <c r="G116" s="245">
        <f>D116/C116</f>
        <v>0.09545602368758818</v>
      </c>
      <c r="H116" s="246">
        <f>1-G116</f>
        <v>0.9045439763124118</v>
      </c>
      <c r="I116" s="157"/>
    </row>
    <row r="117" spans="1:9" ht="15.75" thickTop="1">
      <c r="A117" s="171"/>
      <c r="B117" s="172"/>
      <c r="C117" s="227"/>
      <c r="D117" s="227"/>
      <c r="E117" s="227"/>
      <c r="F117" s="173"/>
      <c r="G117" s="243"/>
      <c r="H117" s="244"/>
      <c r="I117" s="157"/>
    </row>
    <row r="118" spans="1:9" ht="15.75">
      <c r="A118" s="164" t="s">
        <v>58</v>
      </c>
      <c r="B118" s="165">
        <f>DATE(17,7,1)</f>
        <v>6392</v>
      </c>
      <c r="C118" s="226">
        <v>187696645.78</v>
      </c>
      <c r="D118" s="226">
        <v>17449857.02</v>
      </c>
      <c r="E118" s="226">
        <v>18055170.59</v>
      </c>
      <c r="F118" s="166">
        <f aca="true" t="shared" si="27" ref="F118:F126">(+D118-E118)/E118</f>
        <v>-0.03352577407024102</v>
      </c>
      <c r="G118" s="241">
        <f aca="true" t="shared" si="28" ref="G118:G126">D118/C118</f>
        <v>0.09296840094016942</v>
      </c>
      <c r="H118" s="242">
        <f aca="true" t="shared" si="29" ref="H118:H126">1-G118</f>
        <v>0.9070315990598306</v>
      </c>
      <c r="I118" s="157"/>
    </row>
    <row r="119" spans="1:9" ht="15.75">
      <c r="A119" s="164"/>
      <c r="B119" s="165">
        <f>DATE(17,8,1)</f>
        <v>6423</v>
      </c>
      <c r="C119" s="226">
        <v>180877315.36</v>
      </c>
      <c r="D119" s="226">
        <v>16610228.17</v>
      </c>
      <c r="E119" s="226">
        <v>16341152.65</v>
      </c>
      <c r="F119" s="166">
        <f t="shared" si="27"/>
        <v>0.01646612853836841</v>
      </c>
      <c r="G119" s="241">
        <f t="shared" si="28"/>
        <v>0.09183146121414215</v>
      </c>
      <c r="H119" s="242">
        <f t="shared" si="29"/>
        <v>0.9081685387858578</v>
      </c>
      <c r="I119" s="157"/>
    </row>
    <row r="120" spans="1:9" ht="15.75">
      <c r="A120" s="164"/>
      <c r="B120" s="165">
        <f>DATE(17,9,1)</f>
        <v>6454</v>
      </c>
      <c r="C120" s="226">
        <v>179839451.12</v>
      </c>
      <c r="D120" s="226">
        <v>16301470.13</v>
      </c>
      <c r="E120" s="226">
        <v>15682621.27</v>
      </c>
      <c r="F120" s="166">
        <f t="shared" si="27"/>
        <v>0.03946080501120214</v>
      </c>
      <c r="G120" s="241">
        <f t="shared" si="28"/>
        <v>0.09064457230311858</v>
      </c>
      <c r="H120" s="242">
        <f t="shared" si="29"/>
        <v>0.9093554276968814</v>
      </c>
      <c r="I120" s="157"/>
    </row>
    <row r="121" spans="1:9" ht="15.75">
      <c r="A121" s="164"/>
      <c r="B121" s="165">
        <f>DATE(17,10,1)</f>
        <v>6484</v>
      </c>
      <c r="C121" s="226">
        <v>168519417.42</v>
      </c>
      <c r="D121" s="226">
        <v>15646297.04</v>
      </c>
      <c r="E121" s="226">
        <v>16857793.66</v>
      </c>
      <c r="F121" s="166">
        <f t="shared" si="27"/>
        <v>-0.07186566904509145</v>
      </c>
      <c r="G121" s="241">
        <f t="shared" si="28"/>
        <v>0.09284566300751457</v>
      </c>
      <c r="H121" s="242">
        <f t="shared" si="29"/>
        <v>0.9071543369924855</v>
      </c>
      <c r="I121" s="157"/>
    </row>
    <row r="122" spans="1:9" ht="15.75">
      <c r="A122" s="164"/>
      <c r="B122" s="165">
        <f>DATE(17,11,1)</f>
        <v>6515</v>
      </c>
      <c r="C122" s="226">
        <v>166126798.47</v>
      </c>
      <c r="D122" s="226">
        <v>15321390.57</v>
      </c>
      <c r="E122" s="226">
        <v>15363287.77</v>
      </c>
      <c r="F122" s="166">
        <f t="shared" si="27"/>
        <v>-0.0027270985629659437</v>
      </c>
      <c r="G122" s="241">
        <f t="shared" si="28"/>
        <v>0.09222708624440754</v>
      </c>
      <c r="H122" s="242">
        <f t="shared" si="29"/>
        <v>0.9077729137555924</v>
      </c>
      <c r="I122" s="157"/>
    </row>
    <row r="123" spans="1:9" ht="15.75">
      <c r="A123" s="164"/>
      <c r="B123" s="165">
        <f>DATE(17,12,1)</f>
        <v>6545</v>
      </c>
      <c r="C123" s="226">
        <v>182994085.67</v>
      </c>
      <c r="D123" s="226">
        <v>17108418.35</v>
      </c>
      <c r="E123" s="226">
        <v>16219530.86</v>
      </c>
      <c r="F123" s="166">
        <f t="shared" si="27"/>
        <v>0.05480352654293739</v>
      </c>
      <c r="G123" s="241">
        <f t="shared" si="28"/>
        <v>0.09349164639589634</v>
      </c>
      <c r="H123" s="242">
        <f t="shared" si="29"/>
        <v>0.9065083536041036</v>
      </c>
      <c r="I123" s="157"/>
    </row>
    <row r="124" spans="1:9" ht="15.75">
      <c r="A124" s="164"/>
      <c r="B124" s="165">
        <f>DATE(18,1,1)</f>
        <v>6576</v>
      </c>
      <c r="C124" s="226">
        <v>155933928.03</v>
      </c>
      <c r="D124" s="226">
        <v>14386363.66</v>
      </c>
      <c r="E124" s="226">
        <v>15641994.18</v>
      </c>
      <c r="F124" s="166">
        <f t="shared" si="27"/>
        <v>-0.08027304610594092</v>
      </c>
      <c r="G124" s="241">
        <f t="shared" si="28"/>
        <v>0.09225935523943332</v>
      </c>
      <c r="H124" s="242">
        <f t="shared" si="29"/>
        <v>0.9077406447605667</v>
      </c>
      <c r="I124" s="157"/>
    </row>
    <row r="125" spans="1:9" ht="15.75">
      <c r="A125" s="164"/>
      <c r="B125" s="165">
        <f>DATE(18,2,1)</f>
        <v>6607</v>
      </c>
      <c r="C125" s="226">
        <v>170530036.65</v>
      </c>
      <c r="D125" s="226">
        <v>15815880.54</v>
      </c>
      <c r="E125" s="226">
        <v>16555178.2</v>
      </c>
      <c r="F125" s="166">
        <f t="shared" si="27"/>
        <v>-0.04465658122604806</v>
      </c>
      <c r="G125" s="241">
        <f t="shared" si="28"/>
        <v>0.0927454239188425</v>
      </c>
      <c r="H125" s="242">
        <f t="shared" si="29"/>
        <v>0.9072545760811574</v>
      </c>
      <c r="I125" s="157"/>
    </row>
    <row r="126" spans="1:9" ht="15.75">
      <c r="A126" s="164"/>
      <c r="B126" s="165">
        <f>DATE(18,3,1)</f>
        <v>6635</v>
      </c>
      <c r="C126" s="226">
        <v>200634276.52</v>
      </c>
      <c r="D126" s="226">
        <v>19279509.88</v>
      </c>
      <c r="E126" s="226">
        <v>18240957.42</v>
      </c>
      <c r="F126" s="166">
        <f t="shared" si="27"/>
        <v>0.05693519457818005</v>
      </c>
      <c r="G126" s="241">
        <f t="shared" si="28"/>
        <v>0.09609280235861464</v>
      </c>
      <c r="H126" s="242">
        <f t="shared" si="29"/>
        <v>0.9039071976413854</v>
      </c>
      <c r="I126" s="157"/>
    </row>
    <row r="127" spans="1:9" ht="15.75" thickBot="1">
      <c r="A127" s="167"/>
      <c r="B127" s="168"/>
      <c r="C127" s="226"/>
      <c r="D127" s="226"/>
      <c r="E127" s="226"/>
      <c r="F127" s="166"/>
      <c r="G127" s="241"/>
      <c r="H127" s="242"/>
      <c r="I127" s="157"/>
    </row>
    <row r="128" spans="1:9" ht="17.25" thickBot="1" thickTop="1">
      <c r="A128" s="174" t="s">
        <v>14</v>
      </c>
      <c r="B128" s="175"/>
      <c r="C128" s="228">
        <f>SUM(C118:C127)</f>
        <v>1593151955.02</v>
      </c>
      <c r="D128" s="228">
        <f>SUM(D118:D127)</f>
        <v>147919415.35999998</v>
      </c>
      <c r="E128" s="228">
        <f>SUM(E118:E127)</f>
        <v>148957686.6</v>
      </c>
      <c r="F128" s="176">
        <f>(+D128-E128)/E128</f>
        <v>-0.006970242783026744</v>
      </c>
      <c r="G128" s="249">
        <f>D128/C128</f>
        <v>0.09284702246631775</v>
      </c>
      <c r="H128" s="270">
        <f>1-G128</f>
        <v>0.9071529775336823</v>
      </c>
      <c r="I128" s="157"/>
    </row>
    <row r="129" spans="1:9" ht="15.75" thickTop="1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>
      <c r="A130" s="164" t="s">
        <v>59</v>
      </c>
      <c r="B130" s="165">
        <f>DATE(17,7,1)</f>
        <v>6392</v>
      </c>
      <c r="C130" s="226">
        <v>23593924.79</v>
      </c>
      <c r="D130" s="226">
        <v>2744349.13</v>
      </c>
      <c r="E130" s="226">
        <v>2795817.88</v>
      </c>
      <c r="F130" s="166">
        <f aca="true" t="shared" si="30" ref="F130:F138">(+D130-E130)/E130</f>
        <v>-0.01840919266171944</v>
      </c>
      <c r="G130" s="241">
        <f aca="true" t="shared" si="31" ref="G130:G138">D130/C130</f>
        <v>0.11631592261255148</v>
      </c>
      <c r="H130" s="242">
        <f aca="true" t="shared" si="32" ref="H130:H138">1-G130</f>
        <v>0.8836840773874485</v>
      </c>
      <c r="I130" s="157"/>
    </row>
    <row r="131" spans="1:9" ht="15.75">
      <c r="A131" s="164"/>
      <c r="B131" s="165">
        <f>DATE(17,8,1)</f>
        <v>6423</v>
      </c>
      <c r="C131" s="226">
        <v>21507122.18</v>
      </c>
      <c r="D131" s="226">
        <v>2540959.26</v>
      </c>
      <c r="E131" s="226">
        <v>2610502.16</v>
      </c>
      <c r="F131" s="166">
        <f t="shared" si="30"/>
        <v>-0.026639663841534753</v>
      </c>
      <c r="G131" s="241">
        <f t="shared" si="31"/>
        <v>0.11814501441587104</v>
      </c>
      <c r="H131" s="242">
        <f t="shared" si="32"/>
        <v>0.881854985584129</v>
      </c>
      <c r="I131" s="157"/>
    </row>
    <row r="132" spans="1:9" ht="15.75">
      <c r="A132" s="164"/>
      <c r="B132" s="165">
        <f>DATE(17,9,1)</f>
        <v>6454</v>
      </c>
      <c r="C132" s="226">
        <v>22920807.74</v>
      </c>
      <c r="D132" s="226">
        <v>2634253.17</v>
      </c>
      <c r="E132" s="226">
        <v>2597489.31</v>
      </c>
      <c r="F132" s="166">
        <f t="shared" si="30"/>
        <v>0.01415361359081007</v>
      </c>
      <c r="G132" s="241">
        <f t="shared" si="31"/>
        <v>0.11492846150455953</v>
      </c>
      <c r="H132" s="242">
        <f t="shared" si="32"/>
        <v>0.8850715384954405</v>
      </c>
      <c r="I132" s="157"/>
    </row>
    <row r="133" spans="1:9" ht="15.75">
      <c r="A133" s="164"/>
      <c r="B133" s="165">
        <f>DATE(17,10,1)</f>
        <v>6484</v>
      </c>
      <c r="C133" s="226">
        <v>20376782.81</v>
      </c>
      <c r="D133" s="226">
        <v>2351008.96</v>
      </c>
      <c r="E133" s="226">
        <v>2658718.15</v>
      </c>
      <c r="F133" s="166">
        <f t="shared" si="30"/>
        <v>-0.115735919582149</v>
      </c>
      <c r="G133" s="241">
        <f t="shared" si="31"/>
        <v>0.11537684736209838</v>
      </c>
      <c r="H133" s="242">
        <f t="shared" si="32"/>
        <v>0.8846231526379016</v>
      </c>
      <c r="I133" s="157"/>
    </row>
    <row r="134" spans="1:9" ht="15.75">
      <c r="A134" s="164"/>
      <c r="B134" s="165">
        <f>DATE(17,11,1)</f>
        <v>6515</v>
      </c>
      <c r="C134" s="226">
        <v>20648636.11</v>
      </c>
      <c r="D134" s="226">
        <v>2370134.99</v>
      </c>
      <c r="E134" s="226">
        <v>2541859.77</v>
      </c>
      <c r="F134" s="166">
        <f t="shared" si="30"/>
        <v>-0.06755871508993581</v>
      </c>
      <c r="G134" s="241">
        <f t="shared" si="31"/>
        <v>0.11478409408610574</v>
      </c>
      <c r="H134" s="242">
        <f t="shared" si="32"/>
        <v>0.8852159059138942</v>
      </c>
      <c r="I134" s="157"/>
    </row>
    <row r="135" spans="1:9" ht="15.75">
      <c r="A135" s="164"/>
      <c r="B135" s="165">
        <f>DATE(17,12,1)</f>
        <v>6545</v>
      </c>
      <c r="C135" s="226">
        <v>21570745.19</v>
      </c>
      <c r="D135" s="226">
        <v>2474390.43</v>
      </c>
      <c r="E135" s="226">
        <v>2574078.09</v>
      </c>
      <c r="F135" s="166">
        <f t="shared" si="30"/>
        <v>-0.0387275197233817</v>
      </c>
      <c r="G135" s="241">
        <f t="shared" si="31"/>
        <v>0.11471047514608372</v>
      </c>
      <c r="H135" s="242">
        <f t="shared" si="32"/>
        <v>0.8852895248539163</v>
      </c>
      <c r="I135" s="157"/>
    </row>
    <row r="136" spans="1:9" ht="15.75">
      <c r="A136" s="164"/>
      <c r="B136" s="165">
        <f>DATE(18,1,1)</f>
        <v>6576</v>
      </c>
      <c r="C136" s="226">
        <v>20773090.6</v>
      </c>
      <c r="D136" s="226">
        <v>2393011.98</v>
      </c>
      <c r="E136" s="226">
        <v>2540085.31</v>
      </c>
      <c r="F136" s="166">
        <f t="shared" si="30"/>
        <v>-0.05790094113020167</v>
      </c>
      <c r="G136" s="241">
        <f t="shared" si="31"/>
        <v>0.11519768656860331</v>
      </c>
      <c r="H136" s="242">
        <f t="shared" si="32"/>
        <v>0.8848023134313967</v>
      </c>
      <c r="I136" s="157"/>
    </row>
    <row r="137" spans="1:9" ht="15.75">
      <c r="A137" s="164"/>
      <c r="B137" s="165">
        <f>DATE(18,2,1)</f>
        <v>6607</v>
      </c>
      <c r="C137" s="226">
        <v>21720854.06</v>
      </c>
      <c r="D137" s="226">
        <v>2447889.15</v>
      </c>
      <c r="E137" s="226">
        <v>2700948.11</v>
      </c>
      <c r="F137" s="166">
        <f t="shared" si="30"/>
        <v>-0.09369264039656058</v>
      </c>
      <c r="G137" s="241">
        <f t="shared" si="31"/>
        <v>0.11269764730420549</v>
      </c>
      <c r="H137" s="242">
        <f t="shared" si="32"/>
        <v>0.8873023526957945</v>
      </c>
      <c r="I137" s="157"/>
    </row>
    <row r="138" spans="1:9" ht="15.75">
      <c r="A138" s="164"/>
      <c r="B138" s="165">
        <f>DATE(18,3,1)</f>
        <v>6635</v>
      </c>
      <c r="C138" s="226">
        <v>29666808.77</v>
      </c>
      <c r="D138" s="226">
        <v>3412980.94</v>
      </c>
      <c r="E138" s="226">
        <v>3060470.22</v>
      </c>
      <c r="F138" s="166">
        <f t="shared" si="30"/>
        <v>0.11518188208346615</v>
      </c>
      <c r="G138" s="241">
        <f t="shared" si="31"/>
        <v>0.11504375028875072</v>
      </c>
      <c r="H138" s="242">
        <f t="shared" si="32"/>
        <v>0.8849562497112493</v>
      </c>
      <c r="I138" s="157"/>
    </row>
    <row r="139" spans="1:9" ht="15.75" thickBot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7.25" thickBot="1" thickTop="1">
      <c r="A140" s="182" t="s">
        <v>14</v>
      </c>
      <c r="B140" s="183"/>
      <c r="C140" s="230">
        <f>SUM(C130:C139)</f>
        <v>202778772.25</v>
      </c>
      <c r="D140" s="230">
        <f>SUM(D130:D139)</f>
        <v>23368978.009999998</v>
      </c>
      <c r="E140" s="230">
        <f>SUM(E130:E139)</f>
        <v>24079968.999999996</v>
      </c>
      <c r="F140" s="176">
        <f>(+D140-E140)/E140</f>
        <v>-0.02952624191501237</v>
      </c>
      <c r="G140" s="249">
        <f>D140/C140</f>
        <v>0.11524370993423844</v>
      </c>
      <c r="H140" s="246">
        <f>1-G140</f>
        <v>0.8847562900657615</v>
      </c>
      <c r="I140" s="157"/>
    </row>
    <row r="141" spans="1:9" ht="15.75" thickTop="1">
      <c r="A141" s="167"/>
      <c r="B141" s="168"/>
      <c r="C141" s="226"/>
      <c r="D141" s="226"/>
      <c r="E141" s="226"/>
      <c r="F141" s="166"/>
      <c r="G141" s="241"/>
      <c r="H141" s="242"/>
      <c r="I141" s="157"/>
    </row>
    <row r="142" spans="1:9" ht="15.75">
      <c r="A142" s="164" t="s">
        <v>40</v>
      </c>
      <c r="B142" s="165">
        <f>DATE(17,7,1)</f>
        <v>6392</v>
      </c>
      <c r="C142" s="226">
        <v>226837676.51</v>
      </c>
      <c r="D142" s="226">
        <v>20250233.59</v>
      </c>
      <c r="E142" s="226">
        <v>20041496.31</v>
      </c>
      <c r="F142" s="166">
        <f aca="true" t="shared" si="33" ref="F142:F150">(+D142-E142)/E142</f>
        <v>0.010415254269006285</v>
      </c>
      <c r="G142" s="241">
        <f aca="true" t="shared" si="34" ref="G142:G150">D142/C142</f>
        <v>0.08927191417915657</v>
      </c>
      <c r="H142" s="242">
        <f aca="true" t="shared" si="35" ref="H142:H150">1-G142</f>
        <v>0.9107280858208434</v>
      </c>
      <c r="I142" s="157"/>
    </row>
    <row r="143" spans="1:9" ht="15.75">
      <c r="A143" s="164"/>
      <c r="B143" s="165">
        <f>DATE(17,8,1)</f>
        <v>6423</v>
      </c>
      <c r="C143" s="226">
        <v>203505092.13</v>
      </c>
      <c r="D143" s="226">
        <v>18649872.98</v>
      </c>
      <c r="E143" s="226">
        <v>18005684.83</v>
      </c>
      <c r="F143" s="166">
        <f t="shared" si="33"/>
        <v>0.03577693134596549</v>
      </c>
      <c r="G143" s="241">
        <f t="shared" si="34"/>
        <v>0.09164327430237655</v>
      </c>
      <c r="H143" s="242">
        <f t="shared" si="35"/>
        <v>0.9083567256976235</v>
      </c>
      <c r="I143" s="157"/>
    </row>
    <row r="144" spans="1:9" ht="15.75">
      <c r="A144" s="164"/>
      <c r="B144" s="165">
        <f>DATE(17,9,1)</f>
        <v>6454</v>
      </c>
      <c r="C144" s="226">
        <v>207713230.86</v>
      </c>
      <c r="D144" s="226">
        <v>18449653.52</v>
      </c>
      <c r="E144" s="226">
        <v>18830129.89</v>
      </c>
      <c r="F144" s="166">
        <f t="shared" si="33"/>
        <v>-0.020205722011618105</v>
      </c>
      <c r="G144" s="241">
        <f t="shared" si="34"/>
        <v>0.08882271699117318</v>
      </c>
      <c r="H144" s="242">
        <f t="shared" si="35"/>
        <v>0.9111772830088268</v>
      </c>
      <c r="I144" s="157"/>
    </row>
    <row r="145" spans="1:9" ht="15.75">
      <c r="A145" s="164"/>
      <c r="B145" s="165">
        <f>DATE(17,10,1)</f>
        <v>6484</v>
      </c>
      <c r="C145" s="226">
        <v>205445724.16</v>
      </c>
      <c r="D145" s="226">
        <v>17943427.35</v>
      </c>
      <c r="E145" s="226">
        <v>18755897.64</v>
      </c>
      <c r="F145" s="166">
        <f t="shared" si="33"/>
        <v>-0.04331812348278518</v>
      </c>
      <c r="G145" s="241">
        <f t="shared" si="34"/>
        <v>0.08733901580753153</v>
      </c>
      <c r="H145" s="242">
        <f t="shared" si="35"/>
        <v>0.9126609841924684</v>
      </c>
      <c r="I145" s="157"/>
    </row>
    <row r="146" spans="1:9" ht="15.75">
      <c r="A146" s="164"/>
      <c r="B146" s="165">
        <f>DATE(17,11,1)</f>
        <v>6515</v>
      </c>
      <c r="C146" s="226">
        <v>202500755.18</v>
      </c>
      <c r="D146" s="226">
        <v>17723437.11</v>
      </c>
      <c r="E146" s="226">
        <v>17341075.18</v>
      </c>
      <c r="F146" s="166">
        <f t="shared" si="33"/>
        <v>0.022049493819217714</v>
      </c>
      <c r="G146" s="241">
        <f t="shared" si="34"/>
        <v>0.08752281982477493</v>
      </c>
      <c r="H146" s="242">
        <f t="shared" si="35"/>
        <v>0.9124771801752251</v>
      </c>
      <c r="I146" s="157"/>
    </row>
    <row r="147" spans="1:9" ht="15.75">
      <c r="A147" s="164"/>
      <c r="B147" s="165">
        <f>DATE(17,12,1)</f>
        <v>6545</v>
      </c>
      <c r="C147" s="226">
        <v>216163576.61</v>
      </c>
      <c r="D147" s="226">
        <v>18728361.25</v>
      </c>
      <c r="E147" s="226">
        <v>18716969.5</v>
      </c>
      <c r="F147" s="166">
        <f t="shared" si="33"/>
        <v>0.0006086321826832062</v>
      </c>
      <c r="G147" s="241">
        <f t="shared" si="34"/>
        <v>0.08663976394038625</v>
      </c>
      <c r="H147" s="242">
        <f t="shared" si="35"/>
        <v>0.9133602360596138</v>
      </c>
      <c r="I147" s="157"/>
    </row>
    <row r="148" spans="1:9" ht="15.75">
      <c r="A148" s="164"/>
      <c r="B148" s="165">
        <f>DATE(18,1,1)</f>
        <v>6576</v>
      </c>
      <c r="C148" s="226">
        <v>193901004.59</v>
      </c>
      <c r="D148" s="226">
        <v>16953191</v>
      </c>
      <c r="E148" s="226">
        <v>16940330.17</v>
      </c>
      <c r="F148" s="166">
        <f t="shared" si="33"/>
        <v>0.000759184140505935</v>
      </c>
      <c r="G148" s="241">
        <f t="shared" si="34"/>
        <v>0.08743219786739734</v>
      </c>
      <c r="H148" s="242">
        <f t="shared" si="35"/>
        <v>0.9125678021326027</v>
      </c>
      <c r="I148" s="157"/>
    </row>
    <row r="149" spans="1:9" ht="15.75">
      <c r="A149" s="164"/>
      <c r="B149" s="165">
        <f>DATE(18,2,1)</f>
        <v>6607</v>
      </c>
      <c r="C149" s="226">
        <v>195611002.13</v>
      </c>
      <c r="D149" s="226">
        <v>18138655.68</v>
      </c>
      <c r="E149" s="226">
        <v>18602686.64</v>
      </c>
      <c r="F149" s="166">
        <f t="shared" si="33"/>
        <v>-0.024944298045758023</v>
      </c>
      <c r="G149" s="241">
        <f t="shared" si="34"/>
        <v>0.09272819771121736</v>
      </c>
      <c r="H149" s="242">
        <f t="shared" si="35"/>
        <v>0.9072718022887827</v>
      </c>
      <c r="I149" s="157"/>
    </row>
    <row r="150" spans="1:9" ht="15.75">
      <c r="A150" s="164"/>
      <c r="B150" s="165">
        <f>DATE(18,3,1)</f>
        <v>6635</v>
      </c>
      <c r="C150" s="226">
        <v>242846069.3</v>
      </c>
      <c r="D150" s="226">
        <v>21744558.07</v>
      </c>
      <c r="E150" s="226">
        <v>21096281.87</v>
      </c>
      <c r="F150" s="166">
        <f t="shared" si="33"/>
        <v>0.030729405494049705</v>
      </c>
      <c r="G150" s="241">
        <f t="shared" si="34"/>
        <v>0.08954049836045667</v>
      </c>
      <c r="H150" s="242">
        <f t="shared" si="35"/>
        <v>0.9104595016395434</v>
      </c>
      <c r="I150" s="157"/>
    </row>
    <row r="151" spans="1:9" ht="15.75" thickBot="1">
      <c r="A151" s="167"/>
      <c r="B151" s="168"/>
      <c r="C151" s="226"/>
      <c r="D151" s="226"/>
      <c r="E151" s="226"/>
      <c r="F151" s="166"/>
      <c r="G151" s="241"/>
      <c r="H151" s="242"/>
      <c r="I151" s="157"/>
    </row>
    <row r="152" spans="1:9" ht="17.25" thickBot="1" thickTop="1">
      <c r="A152" s="174" t="s">
        <v>14</v>
      </c>
      <c r="B152" s="175"/>
      <c r="C152" s="228">
        <f>SUM(C142:C151)</f>
        <v>1894524131.4699996</v>
      </c>
      <c r="D152" s="228">
        <f>SUM(D142:D151)</f>
        <v>168581390.54999998</v>
      </c>
      <c r="E152" s="228">
        <f>SUM(E142:E151)</f>
        <v>168330552.03</v>
      </c>
      <c r="F152" s="176">
        <f>(+D152-E152)/E152</f>
        <v>0.0014901544429990123</v>
      </c>
      <c r="G152" s="245">
        <f>D152/C152</f>
        <v>0.08898350131818816</v>
      </c>
      <c r="H152" s="246">
        <f>1-G152</f>
        <v>0.9110164986818119</v>
      </c>
      <c r="I152" s="157"/>
    </row>
    <row r="153" spans="1:9" ht="15.75" thickTop="1">
      <c r="A153" s="167"/>
      <c r="B153" s="168"/>
      <c r="C153" s="226"/>
      <c r="D153" s="226"/>
      <c r="E153" s="226"/>
      <c r="F153" s="166"/>
      <c r="G153" s="241"/>
      <c r="H153" s="242"/>
      <c r="I153" s="157"/>
    </row>
    <row r="154" spans="1:9" ht="15.75">
      <c r="A154" s="164" t="s">
        <v>64</v>
      </c>
      <c r="B154" s="165">
        <f>DATE(17,7,1)</f>
        <v>6392</v>
      </c>
      <c r="C154" s="226">
        <v>26722604.05</v>
      </c>
      <c r="D154" s="226">
        <v>3031134.15</v>
      </c>
      <c r="E154" s="226">
        <v>3216307.57</v>
      </c>
      <c r="F154" s="166">
        <f aca="true" t="shared" si="36" ref="F154:F162">(+D154-E154)/E154</f>
        <v>-0.057573293588958574</v>
      </c>
      <c r="G154" s="241">
        <f aca="true" t="shared" si="37" ref="G154:G162">D154/C154</f>
        <v>0.11342959482273958</v>
      </c>
      <c r="H154" s="242">
        <f aca="true" t="shared" si="38" ref="H154:H162">1-G154</f>
        <v>0.8865704051772604</v>
      </c>
      <c r="I154" s="157"/>
    </row>
    <row r="155" spans="1:9" ht="15.75">
      <c r="A155" s="164"/>
      <c r="B155" s="165">
        <f>DATE(17,8,1)</f>
        <v>6423</v>
      </c>
      <c r="C155" s="226">
        <v>27214005.58</v>
      </c>
      <c r="D155" s="226">
        <v>3021204.93</v>
      </c>
      <c r="E155" s="226">
        <v>3011271.54</v>
      </c>
      <c r="F155" s="166">
        <f t="shared" si="36"/>
        <v>0.003298736054869409</v>
      </c>
      <c r="G155" s="241">
        <f t="shared" si="37"/>
        <v>0.11101654701725833</v>
      </c>
      <c r="H155" s="242">
        <f t="shared" si="38"/>
        <v>0.8889834529827416</v>
      </c>
      <c r="I155" s="157"/>
    </row>
    <row r="156" spans="1:9" ht="15.75">
      <c r="A156" s="164"/>
      <c r="B156" s="165">
        <f>DATE(17,9,1)</f>
        <v>6454</v>
      </c>
      <c r="C156" s="226">
        <v>29416618.56</v>
      </c>
      <c r="D156" s="226">
        <v>3254625.5</v>
      </c>
      <c r="E156" s="226">
        <v>2994225.71</v>
      </c>
      <c r="F156" s="166">
        <f t="shared" si="36"/>
        <v>0.08696732151164384</v>
      </c>
      <c r="G156" s="241">
        <f t="shared" si="37"/>
        <v>0.11063900812942384</v>
      </c>
      <c r="H156" s="242">
        <f t="shared" si="38"/>
        <v>0.8893609918705762</v>
      </c>
      <c r="I156" s="157"/>
    </row>
    <row r="157" spans="1:9" ht="15.75">
      <c r="A157" s="164"/>
      <c r="B157" s="165">
        <f>DATE(17,10,1)</f>
        <v>6484</v>
      </c>
      <c r="C157" s="226">
        <v>28240080.8</v>
      </c>
      <c r="D157" s="226">
        <v>3125463.3</v>
      </c>
      <c r="E157" s="226">
        <v>2995512.05</v>
      </c>
      <c r="F157" s="166">
        <f t="shared" si="36"/>
        <v>0.043381982055455265</v>
      </c>
      <c r="G157" s="241">
        <f t="shared" si="37"/>
        <v>0.11067472937258734</v>
      </c>
      <c r="H157" s="242">
        <f t="shared" si="38"/>
        <v>0.8893252706274126</v>
      </c>
      <c r="I157" s="157"/>
    </row>
    <row r="158" spans="1:9" ht="15.75">
      <c r="A158" s="164"/>
      <c r="B158" s="165">
        <f>DATE(17,11,1)</f>
        <v>6515</v>
      </c>
      <c r="C158" s="226">
        <v>28823289.36</v>
      </c>
      <c r="D158" s="226">
        <v>3210022.57</v>
      </c>
      <c r="E158" s="226">
        <v>2860580.01</v>
      </c>
      <c r="F158" s="166">
        <f t="shared" si="36"/>
        <v>0.12215793957114315</v>
      </c>
      <c r="G158" s="241">
        <f t="shared" si="37"/>
        <v>0.11136905749746807</v>
      </c>
      <c r="H158" s="242">
        <f t="shared" si="38"/>
        <v>0.8886309425025319</v>
      </c>
      <c r="I158" s="157"/>
    </row>
    <row r="159" spans="1:9" ht="15.75">
      <c r="A159" s="164"/>
      <c r="B159" s="165">
        <f>DATE(17,12,1)</f>
        <v>6545</v>
      </c>
      <c r="C159" s="226">
        <v>31139345.86</v>
      </c>
      <c r="D159" s="226">
        <v>3515871.15</v>
      </c>
      <c r="E159" s="226">
        <v>3126363.15</v>
      </c>
      <c r="F159" s="166">
        <f t="shared" si="36"/>
        <v>0.12458821362451128</v>
      </c>
      <c r="G159" s="241">
        <f t="shared" si="37"/>
        <v>0.11290767525455013</v>
      </c>
      <c r="H159" s="242">
        <f t="shared" si="38"/>
        <v>0.8870923247454499</v>
      </c>
      <c r="I159" s="157"/>
    </row>
    <row r="160" spans="1:9" ht="15.75">
      <c r="A160" s="164"/>
      <c r="B160" s="165">
        <f>DATE(18,1,1)</f>
        <v>6576</v>
      </c>
      <c r="C160" s="226">
        <v>27912991.36</v>
      </c>
      <c r="D160" s="226">
        <v>3085963.24</v>
      </c>
      <c r="E160" s="226">
        <v>2998319.34</v>
      </c>
      <c r="F160" s="166">
        <f t="shared" si="36"/>
        <v>0.02923100912926786</v>
      </c>
      <c r="G160" s="241">
        <f t="shared" si="37"/>
        <v>0.11055652187899363</v>
      </c>
      <c r="H160" s="242">
        <f t="shared" si="38"/>
        <v>0.8894434781210063</v>
      </c>
      <c r="I160" s="157"/>
    </row>
    <row r="161" spans="1:9" ht="15.75">
      <c r="A161" s="164"/>
      <c r="B161" s="165">
        <f>DATE(18,2,1)</f>
        <v>6607</v>
      </c>
      <c r="C161" s="226">
        <v>29229612.4</v>
      </c>
      <c r="D161" s="226">
        <v>3332057.19</v>
      </c>
      <c r="E161" s="226">
        <v>3249635.79</v>
      </c>
      <c r="F161" s="166">
        <f t="shared" si="36"/>
        <v>0.02536327309467499</v>
      </c>
      <c r="G161" s="241">
        <f t="shared" si="37"/>
        <v>0.11399594166359867</v>
      </c>
      <c r="H161" s="242">
        <f t="shared" si="38"/>
        <v>0.8860040583364013</v>
      </c>
      <c r="I161" s="157"/>
    </row>
    <row r="162" spans="1:9" ht="15.75">
      <c r="A162" s="164"/>
      <c r="B162" s="165">
        <f>DATE(18,3,1)</f>
        <v>6635</v>
      </c>
      <c r="C162" s="226">
        <v>37059131.01</v>
      </c>
      <c r="D162" s="226">
        <v>4151066.17</v>
      </c>
      <c r="E162" s="226">
        <v>3641719.4</v>
      </c>
      <c r="F162" s="166">
        <f t="shared" si="36"/>
        <v>0.13986436461853707</v>
      </c>
      <c r="G162" s="241">
        <f t="shared" si="37"/>
        <v>0.11201196727683335</v>
      </c>
      <c r="H162" s="242">
        <f t="shared" si="38"/>
        <v>0.8879880327231666</v>
      </c>
      <c r="I162" s="157"/>
    </row>
    <row r="163" spans="1:9" ht="15.75" thickBot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Bot="1" thickTop="1">
      <c r="A164" s="169" t="s">
        <v>14</v>
      </c>
      <c r="B164" s="155"/>
      <c r="C164" s="223">
        <f>SUM(C154:C163)</f>
        <v>265757678.98</v>
      </c>
      <c r="D164" s="223">
        <f>SUM(D154:D163)</f>
        <v>29727408.199999996</v>
      </c>
      <c r="E164" s="223">
        <f>SUM(E154:E163)</f>
        <v>28093934.56</v>
      </c>
      <c r="F164" s="176">
        <f>(+D164-E164)/E164</f>
        <v>0.05814328486141376</v>
      </c>
      <c r="G164" s="245">
        <f>D164/C164</f>
        <v>0.11185907520752082</v>
      </c>
      <c r="H164" s="246">
        <f>1-G164</f>
        <v>0.8881409247924792</v>
      </c>
      <c r="I164" s="157"/>
    </row>
    <row r="165" spans="1:9" ht="16.5" thickBot="1" thickTop="1">
      <c r="A165" s="171"/>
      <c r="B165" s="172"/>
      <c r="C165" s="227"/>
      <c r="D165" s="227"/>
      <c r="E165" s="227"/>
      <c r="F165" s="173"/>
      <c r="G165" s="243"/>
      <c r="H165" s="244"/>
      <c r="I165" s="157"/>
    </row>
    <row r="166" spans="1:9" ht="17.25" thickBot="1" thickTop="1">
      <c r="A166" s="184" t="s">
        <v>41</v>
      </c>
      <c r="B166" s="155"/>
      <c r="C166" s="223">
        <f>C164+C152+C116+C92+C68+C44+C20+C56+C140+C32+C104+C128+C80</f>
        <v>11640999523.41</v>
      </c>
      <c r="D166" s="223">
        <f>D164+D152+D116+D92+D68+D44+D20+D56+D140+D32+D104+D128+D80</f>
        <v>1116801366.87</v>
      </c>
      <c r="E166" s="223">
        <f>E164+E152+E116+E92+E68+E44+E20+E56+E140+E32+E104+E128+E80</f>
        <v>1102344999.0400002</v>
      </c>
      <c r="F166" s="170">
        <f>(+D166-E166)/E166</f>
        <v>0.013114195503757272</v>
      </c>
      <c r="G166" s="236">
        <f>D166/C166</f>
        <v>0.09593689653745945</v>
      </c>
      <c r="H166" s="237">
        <f>1-G166</f>
        <v>0.9040631034625406</v>
      </c>
      <c r="I166" s="157"/>
    </row>
    <row r="167" spans="1:9" ht="17.25" thickBot="1" thickTop="1">
      <c r="A167" s="184"/>
      <c r="B167" s="155"/>
      <c r="C167" s="223"/>
      <c r="D167" s="223"/>
      <c r="E167" s="223"/>
      <c r="F167" s="170"/>
      <c r="G167" s="236"/>
      <c r="H167" s="237"/>
      <c r="I167" s="157"/>
    </row>
    <row r="168" spans="1:9" ht="17.25" thickBot="1" thickTop="1">
      <c r="A168" s="184" t="s">
        <v>42</v>
      </c>
      <c r="B168" s="155"/>
      <c r="C168" s="223">
        <f>+C18+C30+C42+C54+C66+C78+C90+C102+C114+C126+C138+C150+C162</f>
        <v>1491820259.9399998</v>
      </c>
      <c r="D168" s="223">
        <f>+D18+D30+D42+D54+D66+D78+D90+D102+D114+D126+D138+D150+D162</f>
        <v>145454314.70999998</v>
      </c>
      <c r="E168" s="223">
        <f>+E18+E30+E42+E54+E66+E78+E90+E102+E114+E126+E138+E150+E162</f>
        <v>139595605.10000002</v>
      </c>
      <c r="F168" s="170">
        <f>(+D168-E168)/E168</f>
        <v>0.04196915515931206</v>
      </c>
      <c r="G168" s="236">
        <f>D168/C168</f>
        <v>0.09750123296746893</v>
      </c>
      <c r="H168" s="246">
        <f>1-G168</f>
        <v>0.9024987670325311</v>
      </c>
      <c r="I168" s="157"/>
    </row>
    <row r="169" spans="1:9" ht="16.5" thickTop="1">
      <c r="A169" s="185"/>
      <c r="B169" s="186"/>
      <c r="C169" s="231"/>
      <c r="D169" s="231"/>
      <c r="E169" s="231"/>
      <c r="F169" s="187"/>
      <c r="G169" s="250"/>
      <c r="H169" s="250"/>
      <c r="I169" s="151"/>
    </row>
    <row r="170" spans="1:9" ht="16.5" customHeight="1">
      <c r="A170" s="188" t="s">
        <v>52</v>
      </c>
      <c r="B170" s="189"/>
      <c r="C170" s="232"/>
      <c r="D170" s="232"/>
      <c r="E170" s="232"/>
      <c r="F170" s="190"/>
      <c r="G170" s="251"/>
      <c r="H170" s="251"/>
      <c r="I170" s="151"/>
    </row>
    <row r="171" spans="1:9" ht="15.75">
      <c r="A171" s="191"/>
      <c r="B171" s="189"/>
      <c r="C171" s="232"/>
      <c r="D171" s="232"/>
      <c r="E171" s="232"/>
      <c r="F171" s="190"/>
      <c r="G171" s="257"/>
      <c r="H171" s="257"/>
      <c r="I171" s="151"/>
    </row>
    <row r="172" spans="1:9" ht="15.75">
      <c r="A172" s="72"/>
      <c r="I172" s="151"/>
    </row>
  </sheetData>
  <sheetProtection/>
  <printOptions horizontalCentered="1"/>
  <pageMargins left="0.75" right="0.25" top="0.3194" bottom="0.2" header="0.5" footer="0.5"/>
  <pageSetup horizontalDpi="600" verticalDpi="600" orientation="landscape" scale="55" r:id="rId1"/>
  <rowBreaks count="3" manualBreakCount="3">
    <brk id="56" max="9" man="1"/>
    <brk id="104" max="9" man="1"/>
    <brk id="1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2018-04-09T14:45:21Z</cp:lastPrinted>
  <dcterms:created xsi:type="dcterms:W3CDTF">2003-09-09T14:41:43Z</dcterms:created>
  <dcterms:modified xsi:type="dcterms:W3CDTF">2018-04-09T20:54:25Z</dcterms:modified>
  <cp:category/>
  <cp:version/>
  <cp:contentType/>
  <cp:contentStatus/>
</cp:coreProperties>
</file>